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5" yWindow="930" windowWidth="10515" windowHeight="6630" tabRatio="728"/>
  </bookViews>
  <sheets>
    <sheet name="1. Būvlaukuma sagatavošana" sheetId="1" r:id="rId1"/>
    <sheet name="2. Zemes darbi" sheetId="2" r:id="rId2"/>
    <sheet name="3. Pamati" sheetId="3" r:id="rId3"/>
    <sheet name="4. Metāla konstrukcijas" sheetId="6" r:id="rId4"/>
    <sheet name="5. Sienas" sheetId="4" r:id="rId5"/>
    <sheet name="6. Jumts" sheetId="5" r:id="rId6"/>
    <sheet name="7. Grīdas" sheetId="7" r:id="rId7"/>
    <sheet name="8. Ailu aizpildījumi" sheetId="8" r:id="rId8"/>
    <sheet name="9. Aprīkojums" sheetId="14" r:id="rId9"/>
    <sheet name="Kopsavilkums" sheetId="10" r:id="rId10"/>
    <sheet name="Koptāme" sheetId="11" r:id="rId11"/>
    <sheet name="Pasūtītāja koptāme" sheetId="12" r:id="rId12"/>
    <sheet name="Tehniski ekonomiskie rādītāji" sheetId="13" r:id="rId13"/>
  </sheets>
  <calcPr calcId="145621"/>
</workbook>
</file>

<file path=xl/calcChain.xml><?xml version="1.0" encoding="utf-8"?>
<calcChain xmlns="http://schemas.openxmlformats.org/spreadsheetml/2006/main">
  <c r="D24" i="10" l="1"/>
  <c r="N29" i="14"/>
  <c r="P29" i="14" s="1"/>
  <c r="P30" i="14" s="1"/>
  <c r="O9" i="14" s="1"/>
  <c r="P28" i="14"/>
  <c r="N28" i="14"/>
  <c r="N9" i="14"/>
  <c r="H20" i="1" l="1"/>
  <c r="N45" i="8" l="1"/>
  <c r="P45" i="8" s="1"/>
  <c r="K45" i="8"/>
  <c r="N44" i="8"/>
  <c r="P44" i="8" s="1"/>
  <c r="K44" i="8"/>
  <c r="N43" i="8"/>
  <c r="P43" i="8" s="1"/>
  <c r="K43" i="8"/>
  <c r="M42" i="8"/>
  <c r="P42" i="8" s="1"/>
  <c r="L42" i="8"/>
  <c r="K42" i="8"/>
  <c r="H42" i="8"/>
  <c r="N41" i="8"/>
  <c r="P41" i="8" s="1"/>
  <c r="K41" i="8"/>
  <c r="N40" i="8"/>
  <c r="P40" i="8" s="1"/>
  <c r="K40" i="8"/>
  <c r="M39" i="8"/>
  <c r="P39" i="8" s="1"/>
  <c r="L39" i="8"/>
  <c r="H39" i="8"/>
  <c r="K39" i="8" s="1"/>
  <c r="N38" i="8"/>
  <c r="P38" i="8" s="1"/>
  <c r="K38" i="8"/>
  <c r="N37" i="8"/>
  <c r="P37" i="8" s="1"/>
  <c r="K37" i="8"/>
  <c r="L36" i="8"/>
  <c r="H36" i="8"/>
  <c r="M36" i="8" s="1"/>
  <c r="P36" i="8" s="1"/>
  <c r="H28" i="8"/>
  <c r="K36" i="8" l="1"/>
  <c r="N33" i="7"/>
  <c r="P33" i="7" s="1"/>
  <c r="N32" i="7"/>
  <c r="P32" i="7" s="1"/>
  <c r="O28" i="7"/>
  <c r="P28" i="7" s="1"/>
  <c r="K28" i="7"/>
  <c r="M32" i="5"/>
  <c r="N32" i="5"/>
  <c r="O32" i="5"/>
  <c r="P32" i="5"/>
  <c r="N31" i="5"/>
  <c r="P31" i="5" s="1"/>
  <c r="N30" i="5"/>
  <c r="P30" i="5" s="1"/>
  <c r="K30" i="5"/>
  <c r="L29" i="5"/>
  <c r="H29" i="5"/>
  <c r="K29" i="5" s="1"/>
  <c r="M39" i="6"/>
  <c r="P39" i="6" s="1"/>
  <c r="L39" i="6"/>
  <c r="H39" i="6"/>
  <c r="K39" i="6" s="1"/>
  <c r="L35" i="6"/>
  <c r="H35" i="6"/>
  <c r="K35" i="6" s="1"/>
  <c r="L30" i="6"/>
  <c r="H30" i="6"/>
  <c r="K30" i="6" s="1"/>
  <c r="L26" i="6"/>
  <c r="H26" i="6"/>
  <c r="K26" i="6" s="1"/>
  <c r="M20" i="6"/>
  <c r="L20" i="6"/>
  <c r="H20" i="6"/>
  <c r="K20" i="6" s="1"/>
  <c r="N45" i="6"/>
  <c r="N33" i="6"/>
  <c r="P33" i="6" s="1"/>
  <c r="K33" i="6"/>
  <c r="P44" i="6"/>
  <c r="N44" i="6"/>
  <c r="K44" i="6"/>
  <c r="N43" i="6"/>
  <c r="P43" i="6" s="1"/>
  <c r="K43" i="6"/>
  <c r="O45" i="6"/>
  <c r="N42" i="6"/>
  <c r="P42" i="6" s="1"/>
  <c r="N38" i="6"/>
  <c r="N34" i="6"/>
  <c r="K42" i="6"/>
  <c r="N41" i="6"/>
  <c r="P41" i="6" s="1"/>
  <c r="K41" i="6"/>
  <c r="N40" i="6"/>
  <c r="P40" i="6" s="1"/>
  <c r="K40" i="6"/>
  <c r="P38" i="6"/>
  <c r="K38" i="6"/>
  <c r="N37" i="6"/>
  <c r="P37" i="6" s="1"/>
  <c r="K37" i="6"/>
  <c r="N36" i="6"/>
  <c r="P36" i="6" s="1"/>
  <c r="K36" i="6"/>
  <c r="P34" i="6"/>
  <c r="K34" i="6"/>
  <c r="N32" i="6"/>
  <c r="P32" i="6" s="1"/>
  <c r="K32" i="6"/>
  <c r="N31" i="6"/>
  <c r="P31" i="6" s="1"/>
  <c r="K31" i="6"/>
  <c r="O29" i="6"/>
  <c r="P29" i="6" s="1"/>
  <c r="K29" i="6"/>
  <c r="N28" i="6"/>
  <c r="P28" i="6" s="1"/>
  <c r="K28" i="6"/>
  <c r="N27" i="6"/>
  <c r="P27" i="6" s="1"/>
  <c r="K27" i="6"/>
  <c r="K22" i="6"/>
  <c r="O25" i="6"/>
  <c r="P25" i="6" s="1"/>
  <c r="K25" i="6"/>
  <c r="N24" i="6"/>
  <c r="P24" i="6" s="1"/>
  <c r="K24" i="6"/>
  <c r="N23" i="6"/>
  <c r="P23" i="6" s="1"/>
  <c r="K23" i="6"/>
  <c r="K21" i="6"/>
  <c r="N21" i="6"/>
  <c r="P21" i="6" s="1"/>
  <c r="N18" i="6"/>
  <c r="O19" i="6"/>
  <c r="N52" i="4"/>
  <c r="O52" i="4"/>
  <c r="K50" i="4"/>
  <c r="K51" i="4"/>
  <c r="M49" i="4"/>
  <c r="L49" i="4"/>
  <c r="N48" i="4"/>
  <c r="N50" i="4"/>
  <c r="P50" i="4" s="1"/>
  <c r="N51" i="4"/>
  <c r="P51" i="4" s="1"/>
  <c r="N45" i="4"/>
  <c r="N46" i="4"/>
  <c r="N47" i="4"/>
  <c r="K45" i="4"/>
  <c r="K46" i="4"/>
  <c r="K47" i="4"/>
  <c r="K49" i="4"/>
  <c r="P49" i="4"/>
  <c r="H49" i="4"/>
  <c r="K44" i="4"/>
  <c r="M35" i="6" l="1"/>
  <c r="P35" i="6" s="1"/>
  <c r="M30" i="6"/>
  <c r="P30" i="6" s="1"/>
  <c r="M26" i="6"/>
  <c r="P26" i="6" s="1"/>
  <c r="K33" i="7"/>
  <c r="K32" i="7"/>
  <c r="M29" i="5"/>
  <c r="P29" i="5" s="1"/>
  <c r="L45" i="6"/>
  <c r="P20" i="6"/>
  <c r="E47" i="4"/>
  <c r="E46" i="4"/>
  <c r="E45" i="4"/>
  <c r="E44" i="4"/>
  <c r="N44" i="4" s="1"/>
  <c r="P44" i="4" s="1"/>
  <c r="E43" i="4"/>
  <c r="E42" i="4"/>
  <c r="E41" i="4"/>
  <c r="E40" i="4"/>
  <c r="E39" i="4"/>
  <c r="E38" i="4"/>
  <c r="E37" i="4"/>
  <c r="E36" i="4"/>
  <c r="E22" i="4"/>
  <c r="K33" i="4"/>
  <c r="H32" i="4"/>
  <c r="K32" i="4" s="1"/>
  <c r="K31" i="4"/>
  <c r="H30" i="4"/>
  <c r="K30" i="4" s="1"/>
  <c r="K29" i="4"/>
  <c r="K28" i="4"/>
  <c r="K26" i="4"/>
  <c r="K24" i="4"/>
  <c r="N23" i="4"/>
  <c r="P23" i="4" s="1"/>
  <c r="K22" i="4"/>
  <c r="H21" i="4"/>
  <c r="K21" i="4" s="1"/>
  <c r="E30" i="4"/>
  <c r="K34" i="4"/>
  <c r="H35" i="4"/>
  <c r="M35" i="4" s="1"/>
  <c r="L35" i="4"/>
  <c r="L52" i="4" s="1"/>
  <c r="P45" i="6" l="1"/>
  <c r="M45" i="6"/>
  <c r="M30" i="4"/>
  <c r="L30" i="4"/>
  <c r="M21" i="4"/>
  <c r="P21" i="4" s="1"/>
  <c r="K23" i="4"/>
  <c r="K27" i="4"/>
  <c r="N29" i="4"/>
  <c r="P29" i="4" s="1"/>
  <c r="L21" i="4"/>
  <c r="N24" i="4"/>
  <c r="P24" i="4" s="1"/>
  <c r="N27" i="4"/>
  <c r="P27" i="4" s="1"/>
  <c r="N28" i="4"/>
  <c r="P28" i="4" s="1"/>
  <c r="N31" i="4"/>
  <c r="P31" i="4" s="1"/>
  <c r="N22" i="4"/>
  <c r="P22" i="4" s="1"/>
  <c r="N26" i="4"/>
  <c r="P26" i="4" s="1"/>
  <c r="K35" i="4"/>
  <c r="L63" i="3"/>
  <c r="O58" i="3"/>
  <c r="P58" i="3" s="1"/>
  <c r="K58" i="3"/>
  <c r="O57" i="3"/>
  <c r="P57" i="3" s="1"/>
  <c r="K57" i="3"/>
  <c r="N56" i="3"/>
  <c r="P56" i="3" s="1"/>
  <c r="K56" i="3"/>
  <c r="O55" i="3"/>
  <c r="M55" i="3"/>
  <c r="P55" i="3" s="1"/>
  <c r="L55" i="3"/>
  <c r="H55" i="3"/>
  <c r="K55" i="3" s="1"/>
  <c r="O54" i="3"/>
  <c r="P54" i="3" s="1"/>
  <c r="K54" i="3"/>
  <c r="O53" i="3"/>
  <c r="P53" i="3" s="1"/>
  <c r="K53" i="3"/>
  <c r="N52" i="3"/>
  <c r="P52" i="3" s="1"/>
  <c r="K52" i="3"/>
  <c r="N51" i="3"/>
  <c r="P51" i="3" s="1"/>
  <c r="K51" i="3"/>
  <c r="N50" i="3"/>
  <c r="P50" i="3" s="1"/>
  <c r="K50" i="3"/>
  <c r="M49" i="3"/>
  <c r="P49" i="3" s="1"/>
  <c r="L49" i="3"/>
  <c r="H49" i="3"/>
  <c r="K49" i="3" s="1"/>
  <c r="K62" i="3"/>
  <c r="P62" i="3"/>
  <c r="O47" i="3"/>
  <c r="P47" i="3" s="1"/>
  <c r="L46" i="3"/>
  <c r="H46" i="3"/>
  <c r="M46" i="3" s="1"/>
  <c r="P46" i="3" s="1"/>
  <c r="O45" i="3"/>
  <c r="P45" i="3" s="1"/>
  <c r="H43" i="3"/>
  <c r="K43" i="3" s="1"/>
  <c r="E43" i="3"/>
  <c r="L43" i="3" s="1"/>
  <c r="E42" i="3"/>
  <c r="L42" i="3" s="1"/>
  <c r="P32" i="3"/>
  <c r="P33" i="3"/>
  <c r="P34" i="3"/>
  <c r="P35" i="3"/>
  <c r="P36" i="3"/>
  <c r="P37" i="3"/>
  <c r="P38" i="3"/>
  <c r="P39" i="3"/>
  <c r="P40" i="3"/>
  <c r="P41" i="3"/>
  <c r="P61" i="3"/>
  <c r="K32" i="3"/>
  <c r="K33" i="3"/>
  <c r="K34" i="3"/>
  <c r="K35" i="3"/>
  <c r="K36" i="3"/>
  <c r="K37" i="3"/>
  <c r="K38" i="3"/>
  <c r="K39" i="3"/>
  <c r="K40" i="3"/>
  <c r="K41" i="3"/>
  <c r="K44" i="3"/>
  <c r="K45" i="3"/>
  <c r="K47" i="3"/>
  <c r="K61" i="3"/>
  <c r="H42" i="3"/>
  <c r="M42" i="3" s="1"/>
  <c r="P42" i="3" s="1"/>
  <c r="L28" i="2"/>
  <c r="N28" i="2"/>
  <c r="H23" i="2"/>
  <c r="M24" i="2"/>
  <c r="H25" i="2"/>
  <c r="M25" i="2" s="1"/>
  <c r="H26" i="2"/>
  <c r="M26" i="2" s="1"/>
  <c r="K17" i="2"/>
  <c r="O23" i="2"/>
  <c r="O24" i="2"/>
  <c r="O25" i="2"/>
  <c r="O26" i="2"/>
  <c r="O27" i="2"/>
  <c r="M22" i="2"/>
  <c r="M23" i="2"/>
  <c r="P23" i="2" s="1"/>
  <c r="M27" i="2"/>
  <c r="L22" i="2"/>
  <c r="L23" i="2"/>
  <c r="L25" i="2"/>
  <c r="L26" i="2"/>
  <c r="K23" i="2"/>
  <c r="K24" i="2"/>
  <c r="K27" i="2"/>
  <c r="P30" i="4" l="1"/>
  <c r="M28" i="2"/>
  <c r="N33" i="4"/>
  <c r="P33" i="4" s="1"/>
  <c r="M32" i="4"/>
  <c r="P32" i="4" s="1"/>
  <c r="K46" i="3"/>
  <c r="M43" i="3"/>
  <c r="P43" i="3" s="1"/>
  <c r="E44" i="3"/>
  <c r="N44" i="3" s="1"/>
  <c r="P44" i="3" s="1"/>
  <c r="K42" i="3"/>
  <c r="P26" i="2"/>
  <c r="P25" i="2"/>
  <c r="K25" i="2"/>
  <c r="P24" i="2"/>
  <c r="P27" i="2"/>
  <c r="K26" i="2"/>
  <c r="M52" i="4" l="1"/>
  <c r="K21" i="3"/>
  <c r="E15" i="3"/>
  <c r="E14" i="3"/>
  <c r="L14" i="3" s="1"/>
  <c r="O26" i="3" l="1"/>
  <c r="O27" i="3"/>
  <c r="P27" i="3" s="1"/>
  <c r="K26" i="3"/>
  <c r="K27" i="3"/>
  <c r="H28" i="3"/>
  <c r="M28" i="3" s="1"/>
  <c r="L28" i="3"/>
  <c r="O28" i="3"/>
  <c r="E16" i="3"/>
  <c r="P26" i="3" l="1"/>
  <c r="O63" i="3"/>
  <c r="P28" i="3"/>
  <c r="K28" i="3"/>
  <c r="I16" i="3"/>
  <c r="N16" i="3" s="1"/>
  <c r="P16" i="3" s="1"/>
  <c r="O17" i="3"/>
  <c r="P17" i="3" s="1"/>
  <c r="L15" i="3"/>
  <c r="K17" i="3"/>
  <c r="H14" i="3"/>
  <c r="K14" i="3" s="1"/>
  <c r="H15" i="3"/>
  <c r="M15" i="3" s="1"/>
  <c r="K16" i="3" l="1"/>
  <c r="M14" i="3"/>
  <c r="K15" i="3"/>
  <c r="P15" i="3"/>
  <c r="E51" i="8"/>
  <c r="N51" i="8" s="1"/>
  <c r="P51" i="8" s="1"/>
  <c r="N48" i="8"/>
  <c r="P48" i="8" s="1"/>
  <c r="L46" i="8"/>
  <c r="L49" i="8"/>
  <c r="K50" i="8"/>
  <c r="K48" i="8"/>
  <c r="K51" i="8"/>
  <c r="H46" i="8"/>
  <c r="K46" i="8" s="1"/>
  <c r="H49" i="8"/>
  <c r="M49" i="8" s="1"/>
  <c r="P49" i="8" s="1"/>
  <c r="O52" i="8"/>
  <c r="N20" i="3"/>
  <c r="P20" i="3" s="1"/>
  <c r="K20" i="3"/>
  <c r="N23" i="1"/>
  <c r="P23" i="1" s="1"/>
  <c r="K23" i="1"/>
  <c r="O24" i="1"/>
  <c r="P14" i="3" l="1"/>
  <c r="K49" i="8"/>
  <c r="M46" i="8"/>
  <c r="P46" i="8" s="1"/>
  <c r="N50" i="8"/>
  <c r="P50" i="8" s="1"/>
  <c r="N47" i="8" l="1"/>
  <c r="K47" i="8"/>
  <c r="I30" i="8"/>
  <c r="K19" i="8"/>
  <c r="N19" i="8"/>
  <c r="P19" i="8" s="1"/>
  <c r="P47" i="8" l="1"/>
  <c r="E21" i="2" l="1"/>
  <c r="H21" i="2" l="1"/>
  <c r="H18" i="3" l="1"/>
  <c r="M18" i="3" s="1"/>
  <c r="M63" i="3" s="1"/>
  <c r="L18" i="3"/>
  <c r="O28" i="5" l="1"/>
  <c r="K28" i="5"/>
  <c r="N26" i="5"/>
  <c r="P26" i="5" s="1"/>
  <c r="N27" i="5"/>
  <c r="P27" i="5" s="1"/>
  <c r="K25" i="5"/>
  <c r="K26" i="5"/>
  <c r="K27" i="5"/>
  <c r="N25" i="5"/>
  <c r="P25" i="5" s="1"/>
  <c r="N21" i="5"/>
  <c r="N22" i="5"/>
  <c r="P22" i="5" s="1"/>
  <c r="N23" i="5"/>
  <c r="P23" i="5" s="1"/>
  <c r="K21" i="5"/>
  <c r="K22" i="5"/>
  <c r="K23" i="5"/>
  <c r="P28" i="5" l="1"/>
  <c r="P21" i="5"/>
  <c r="O27" i="7"/>
  <c r="N17" i="6"/>
  <c r="P17" i="6" s="1"/>
  <c r="K17" i="6"/>
  <c r="E15" i="6"/>
  <c r="N42" i="4"/>
  <c r="P42" i="4" s="1"/>
  <c r="K42" i="4"/>
  <c r="O48" i="4"/>
  <c r="K48" i="4"/>
  <c r="P48" i="4" l="1"/>
  <c r="O31" i="3" l="1"/>
  <c r="P31" i="3" s="1"/>
  <c r="K31" i="3"/>
  <c r="O30" i="3"/>
  <c r="C25" i="12"/>
  <c r="L20" i="5" l="1"/>
  <c r="H20" i="5"/>
  <c r="M20" i="5" s="1"/>
  <c r="P20" i="5" s="1"/>
  <c r="N16" i="6"/>
  <c r="N15" i="6"/>
  <c r="P15" i="6" s="1"/>
  <c r="L14" i="6"/>
  <c r="H14" i="6"/>
  <c r="K14" i="6" s="1"/>
  <c r="K16" i="6"/>
  <c r="N27" i="7"/>
  <c r="P27" i="7" s="1"/>
  <c r="K27" i="7"/>
  <c r="P30" i="3"/>
  <c r="K30" i="3"/>
  <c r="P16" i="6" l="1"/>
  <c r="K20" i="5"/>
  <c r="M14" i="6"/>
  <c r="P14" i="6" s="1"/>
  <c r="K15" i="6"/>
  <c r="E24" i="7"/>
  <c r="E20" i="7"/>
  <c r="N21" i="8" l="1"/>
  <c r="P21" i="8" s="1"/>
  <c r="K21" i="8"/>
  <c r="N16" i="5" l="1"/>
  <c r="P16" i="5" s="1"/>
  <c r="K16" i="5"/>
  <c r="N16" i="8" l="1"/>
  <c r="N17" i="8"/>
  <c r="P17" i="8" s="1"/>
  <c r="N18" i="8"/>
  <c r="P18" i="8" s="1"/>
  <c r="N20" i="8"/>
  <c r="N24" i="8"/>
  <c r="N25" i="8"/>
  <c r="P25" i="8" s="1"/>
  <c r="N26" i="8"/>
  <c r="P26" i="8" s="1"/>
  <c r="N27" i="8"/>
  <c r="P27" i="8" s="1"/>
  <c r="N29" i="8"/>
  <c r="N30" i="8"/>
  <c r="P30" i="8" s="1"/>
  <c r="N31" i="8"/>
  <c r="N32" i="8"/>
  <c r="P32" i="8" s="1"/>
  <c r="N34" i="8"/>
  <c r="P34" i="8" s="1"/>
  <c r="N35" i="8"/>
  <c r="P35" i="8" s="1"/>
  <c r="L23" i="8"/>
  <c r="L28" i="8"/>
  <c r="L33" i="8"/>
  <c r="K18" i="8"/>
  <c r="K25" i="8"/>
  <c r="K27" i="8"/>
  <c r="K30" i="8"/>
  <c r="K32" i="8"/>
  <c r="K34" i="8"/>
  <c r="K35" i="8"/>
  <c r="K20" i="8"/>
  <c r="H23" i="8"/>
  <c r="K23" i="8" s="1"/>
  <c r="M28" i="8"/>
  <c r="K31" i="8"/>
  <c r="H33" i="8"/>
  <c r="K33" i="8" s="1"/>
  <c r="O18" i="7"/>
  <c r="O15" i="7"/>
  <c r="P15" i="7" s="1"/>
  <c r="N17" i="7"/>
  <c r="N20" i="7"/>
  <c r="N22" i="7"/>
  <c r="P22" i="7" s="1"/>
  <c r="N24" i="7"/>
  <c r="N25" i="7"/>
  <c r="N26" i="7"/>
  <c r="N30" i="7"/>
  <c r="N31" i="7"/>
  <c r="L19" i="7"/>
  <c r="L21" i="7"/>
  <c r="L23" i="7"/>
  <c r="L29" i="7"/>
  <c r="H19" i="7"/>
  <c r="M19" i="7" s="1"/>
  <c r="H21" i="7"/>
  <c r="M21" i="7" s="1"/>
  <c r="H23" i="7"/>
  <c r="M23" i="7" s="1"/>
  <c r="H29" i="7"/>
  <c r="M29" i="7" s="1"/>
  <c r="P29" i="7" s="1"/>
  <c r="N15" i="5"/>
  <c r="N18" i="5"/>
  <c r="N19" i="5"/>
  <c r="P19" i="5" s="1"/>
  <c r="L14" i="5"/>
  <c r="L17" i="5"/>
  <c r="L24" i="5"/>
  <c r="K19" i="5"/>
  <c r="H14" i="5"/>
  <c r="M14" i="5" s="1"/>
  <c r="P14" i="5" s="1"/>
  <c r="H17" i="5"/>
  <c r="M17" i="5" s="1"/>
  <c r="P17" i="5" s="1"/>
  <c r="K18" i="5"/>
  <c r="H24" i="5"/>
  <c r="M24" i="5" s="1"/>
  <c r="K15" i="4"/>
  <c r="N17" i="4"/>
  <c r="P17" i="4" s="1"/>
  <c r="N19" i="4"/>
  <c r="N20" i="4"/>
  <c r="N34" i="4"/>
  <c r="N36" i="4"/>
  <c r="N37" i="4"/>
  <c r="P37" i="4" s="1"/>
  <c r="N38" i="4"/>
  <c r="N39" i="4"/>
  <c r="P39" i="4" s="1"/>
  <c r="N40" i="4"/>
  <c r="N41" i="4"/>
  <c r="P41" i="4" s="1"/>
  <c r="L18" i="4"/>
  <c r="L14" i="4"/>
  <c r="K17" i="4"/>
  <c r="K37" i="4"/>
  <c r="K39" i="4"/>
  <c r="K41" i="4"/>
  <c r="H18" i="4"/>
  <c r="K18" i="4" s="1"/>
  <c r="K19" i="4"/>
  <c r="K20" i="4"/>
  <c r="K38" i="4"/>
  <c r="K40" i="4"/>
  <c r="H14" i="4"/>
  <c r="M14" i="4" s="1"/>
  <c r="P14" i="4" s="1"/>
  <c r="K19" i="3"/>
  <c r="O17" i="2"/>
  <c r="O20" i="2"/>
  <c r="O15" i="2"/>
  <c r="L14" i="2"/>
  <c r="K20" i="2"/>
  <c r="H14" i="2"/>
  <c r="H18" i="1"/>
  <c r="H19" i="1"/>
  <c r="H21" i="1"/>
  <c r="P16" i="8" l="1"/>
  <c r="N52" i="8"/>
  <c r="O34" i="7"/>
  <c r="P15" i="2"/>
  <c r="K14" i="2"/>
  <c r="M14" i="2"/>
  <c r="P18" i="3"/>
  <c r="P28" i="8"/>
  <c r="M23" i="8"/>
  <c r="P23" i="8" s="1"/>
  <c r="N34" i="7"/>
  <c r="P24" i="8"/>
  <c r="L32" i="5"/>
  <c r="P24" i="5"/>
  <c r="M33" i="8"/>
  <c r="P33" i="8" s="1"/>
  <c r="K24" i="5"/>
  <c r="K17" i="5"/>
  <c r="K28" i="8"/>
  <c r="K18" i="6"/>
  <c r="K14" i="5"/>
  <c r="M18" i="4"/>
  <c r="P18" i="4" s="1"/>
  <c r="K14" i="4"/>
  <c r="K18" i="3"/>
  <c r="P14" i="2"/>
  <c r="P31" i="8"/>
  <c r="K29" i="8"/>
  <c r="P29" i="8"/>
  <c r="K26" i="8"/>
  <c r="K24" i="8"/>
  <c r="P20" i="8"/>
  <c r="K17" i="8"/>
  <c r="P26" i="7"/>
  <c r="P18" i="7"/>
  <c r="K18" i="7"/>
  <c r="K15" i="7"/>
  <c r="K29" i="7"/>
  <c r="P25" i="7"/>
  <c r="P31" i="7"/>
  <c r="P24" i="7"/>
  <c r="P20" i="7"/>
  <c r="P17" i="7"/>
  <c r="K22" i="7"/>
  <c r="P21" i="7"/>
  <c r="K26" i="7"/>
  <c r="P30" i="7"/>
  <c r="P23" i="7"/>
  <c r="P19" i="7"/>
  <c r="K25" i="7"/>
  <c r="K21" i="7"/>
  <c r="K31" i="7"/>
  <c r="K24" i="7"/>
  <c r="K20" i="7"/>
  <c r="K17" i="7"/>
  <c r="K30" i="7"/>
  <c r="K23" i="7"/>
  <c r="K19" i="7"/>
  <c r="P18" i="6"/>
  <c r="P18" i="5"/>
  <c r="P15" i="5"/>
  <c r="K15" i="5"/>
  <c r="P40" i="4"/>
  <c r="P38" i="4"/>
  <c r="P36" i="4"/>
  <c r="K36" i="4"/>
  <c r="P35" i="4"/>
  <c r="P52" i="4" s="1"/>
  <c r="P34" i="4"/>
  <c r="P20" i="4"/>
  <c r="P19" i="4"/>
  <c r="P20" i="2"/>
  <c r="P17" i="2"/>
  <c r="K15" i="2"/>
  <c r="K16" i="8" l="1"/>
  <c r="L15" i="8"/>
  <c r="L52" i="8" s="1"/>
  <c r="H15" i="8"/>
  <c r="M15" i="8" s="1"/>
  <c r="M52" i="8" s="1"/>
  <c r="H23" i="10" l="1"/>
  <c r="N53" i="8"/>
  <c r="P53" i="8" s="1"/>
  <c r="O54" i="8"/>
  <c r="G23" i="10" s="1"/>
  <c r="P15" i="8"/>
  <c r="P52" i="8" s="1"/>
  <c r="K15" i="8"/>
  <c r="M54" i="8" l="1"/>
  <c r="E23" i="10" s="1"/>
  <c r="P54" i="8"/>
  <c r="N54" i="8"/>
  <c r="F23" i="10" s="1"/>
  <c r="N9" i="8" l="1"/>
  <c r="D23" i="10"/>
  <c r="L16" i="7"/>
  <c r="H16" i="7"/>
  <c r="K16" i="7" s="1"/>
  <c r="L14" i="7"/>
  <c r="H14" i="7"/>
  <c r="K14" i="7" s="1"/>
  <c r="N46" i="6" l="1"/>
  <c r="P46" i="6" s="1"/>
  <c r="L34" i="7"/>
  <c r="H22" i="10" s="1"/>
  <c r="M16" i="7"/>
  <c r="O36" i="7"/>
  <c r="G22" i="10" s="1"/>
  <c r="K19" i="6"/>
  <c r="P19" i="6"/>
  <c r="H21" i="10"/>
  <c r="M14" i="7"/>
  <c r="O47" i="6"/>
  <c r="G21" i="10" s="1"/>
  <c r="P47" i="6" l="1"/>
  <c r="P16" i="7"/>
  <c r="M34" i="7"/>
  <c r="M36" i="7" s="1"/>
  <c r="E22" i="10" s="1"/>
  <c r="N35" i="7"/>
  <c r="P35" i="7" s="1"/>
  <c r="M47" i="6"/>
  <c r="E21" i="10" s="1"/>
  <c r="P14" i="7"/>
  <c r="N47" i="6"/>
  <c r="F21" i="10" s="1"/>
  <c r="P34" i="7" l="1"/>
  <c r="P36" i="7" s="1"/>
  <c r="N9" i="6"/>
  <c r="D21" i="10"/>
  <c r="N36" i="7"/>
  <c r="F22" i="10" s="1"/>
  <c r="N33" i="5" l="1"/>
  <c r="P33" i="5" s="1"/>
  <c r="N9" i="7"/>
  <c r="D22" i="10"/>
  <c r="H20" i="10"/>
  <c r="O34" i="5"/>
  <c r="G20" i="10" s="1"/>
  <c r="N43" i="4"/>
  <c r="H19" i="10"/>
  <c r="N16" i="4"/>
  <c r="N15" i="4"/>
  <c r="N53" i="4" l="1"/>
  <c r="P53" i="4" s="1"/>
  <c r="P34" i="5"/>
  <c r="K16" i="4"/>
  <c r="P16" i="4"/>
  <c r="P15" i="4"/>
  <c r="K43" i="4"/>
  <c r="P43" i="4"/>
  <c r="N34" i="5"/>
  <c r="F20" i="10" s="1"/>
  <c r="M34" i="5"/>
  <c r="E20" i="10" s="1"/>
  <c r="O54" i="4"/>
  <c r="G19" i="10" s="1"/>
  <c r="P54" i="4" l="1"/>
  <c r="N9" i="5"/>
  <c r="D20" i="10"/>
  <c r="M54" i="4"/>
  <c r="E19" i="10" s="1"/>
  <c r="N54" i="4"/>
  <c r="F19" i="10" s="1"/>
  <c r="N9" i="4" l="1"/>
  <c r="D19" i="10"/>
  <c r="N29" i="3"/>
  <c r="N25" i="3"/>
  <c r="K25" i="3"/>
  <c r="N24" i="3"/>
  <c r="K24" i="3"/>
  <c r="N23" i="3"/>
  <c r="N63" i="3" s="1"/>
  <c r="L22" i="3"/>
  <c r="H22" i="3"/>
  <c r="K22" i="3" s="1"/>
  <c r="N21" i="3"/>
  <c r="N19" i="3"/>
  <c r="N64" i="3" l="1"/>
  <c r="P64" i="3" s="1"/>
  <c r="H18" i="10"/>
  <c r="P24" i="3"/>
  <c r="P25" i="3"/>
  <c r="P21" i="3"/>
  <c r="P19" i="3"/>
  <c r="P23" i="3"/>
  <c r="P63" i="3" s="1"/>
  <c r="M22" i="3"/>
  <c r="P29" i="3"/>
  <c r="K23" i="3"/>
  <c r="K29" i="3"/>
  <c r="O65" i="3"/>
  <c r="G18" i="10" s="1"/>
  <c r="M65" i="3" l="1"/>
  <c r="E18" i="10" s="1"/>
  <c r="P22" i="3"/>
  <c r="N65" i="3"/>
  <c r="F18" i="10" s="1"/>
  <c r="P65" i="3" l="1"/>
  <c r="O22" i="2"/>
  <c r="O28" i="2" s="1"/>
  <c r="L21" i="2"/>
  <c r="M21" i="2"/>
  <c r="L19" i="2"/>
  <c r="H19" i="2"/>
  <c r="L18" i="2"/>
  <c r="H18" i="2"/>
  <c r="L16" i="2"/>
  <c r="H16" i="2"/>
  <c r="K16" i="2" s="1"/>
  <c r="N18" i="1"/>
  <c r="L18" i="1"/>
  <c r="M18" i="1"/>
  <c r="K22" i="1"/>
  <c r="L21" i="1"/>
  <c r="N19" i="1"/>
  <c r="L19" i="1"/>
  <c r="M19" i="1"/>
  <c r="H17" i="10" l="1"/>
  <c r="N9" i="3"/>
  <c r="D18" i="10"/>
  <c r="K19" i="2"/>
  <c r="M19" i="2"/>
  <c r="P19" i="2" s="1"/>
  <c r="K18" i="2"/>
  <c r="M18" i="2"/>
  <c r="P18" i="2" s="1"/>
  <c r="M16" i="2"/>
  <c r="P16" i="2" s="1"/>
  <c r="O30" i="2"/>
  <c r="G17" i="10" s="1"/>
  <c r="K22" i="2"/>
  <c r="P22" i="2"/>
  <c r="P28" i="2" s="1"/>
  <c r="N29" i="2"/>
  <c r="P29" i="2" s="1"/>
  <c r="P21" i="2"/>
  <c r="K21" i="2"/>
  <c r="P18" i="1"/>
  <c r="K16" i="1"/>
  <c r="K15" i="1"/>
  <c r="K18" i="1"/>
  <c r="K17" i="1"/>
  <c r="P19" i="1"/>
  <c r="K21" i="1"/>
  <c r="K20" i="1"/>
  <c r="M21" i="1"/>
  <c r="N22" i="1"/>
  <c r="M30" i="2" l="1"/>
  <c r="E17" i="10" s="1"/>
  <c r="P30" i="2"/>
  <c r="N9" i="2" s="1"/>
  <c r="N30" i="2"/>
  <c r="F17" i="10" s="1"/>
  <c r="K19" i="1"/>
  <c r="P21" i="1"/>
  <c r="P22" i="1"/>
  <c r="M20" i="1"/>
  <c r="L20" i="1"/>
  <c r="D17" i="10" l="1"/>
  <c r="P20" i="1"/>
  <c r="O26" i="1" l="1"/>
  <c r="G16" i="10" s="1"/>
  <c r="G25" i="10" s="1"/>
  <c r="M24" i="1"/>
  <c r="M26" i="1" s="1"/>
  <c r="E16" i="10" s="1"/>
  <c r="E25" i="10" s="1"/>
  <c r="D29" i="10" s="1"/>
  <c r="L24" i="1"/>
  <c r="H16" i="10" s="1"/>
  <c r="H25" i="10" s="1"/>
  <c r="E7" i="13" l="1"/>
  <c r="E8" i="13" s="1"/>
  <c r="E14" i="13" s="1"/>
  <c r="D10" i="10"/>
  <c r="E10" i="13"/>
  <c r="N15" i="1" l="1"/>
  <c r="P15" i="1" s="1"/>
  <c r="E12" i="13"/>
  <c r="E13" i="13" s="1"/>
  <c r="K14" i="1" l="1"/>
  <c r="N14" i="1"/>
  <c r="N17" i="1"/>
  <c r="P17" i="1" s="1"/>
  <c r="N16" i="1"/>
  <c r="P16" i="1" s="1"/>
  <c r="P14" i="1" l="1"/>
  <c r="P24" i="1" s="1"/>
  <c r="N24" i="1"/>
  <c r="N25" i="1" l="1"/>
  <c r="P25" i="1" s="1"/>
  <c r="P26" i="1" s="1"/>
  <c r="N26" i="1" l="1"/>
  <c r="F16" i="10" s="1"/>
  <c r="F25" i="10" s="1"/>
  <c r="N9" i="1"/>
  <c r="D16" i="10"/>
  <c r="D25" i="10" s="1"/>
  <c r="D27" i="10" l="1"/>
  <c r="E6" i="13"/>
  <c r="E9" i="13" s="1"/>
  <c r="D26" i="10"/>
  <c r="D28" i="10"/>
  <c r="D30" i="10" l="1"/>
  <c r="E5" i="13" s="1"/>
  <c r="D9" i="10" l="1"/>
  <c r="C18" i="11"/>
  <c r="C19" i="11" s="1"/>
  <c r="C20" i="11" s="1"/>
  <c r="C17" i="11" l="1"/>
  <c r="C17" i="12" s="1"/>
  <c r="C18" i="12" s="1"/>
  <c r="C19" i="12" s="1"/>
  <c r="C20" i="12" s="1"/>
  <c r="C21" i="12" s="1"/>
  <c r="C23" i="12" l="1"/>
  <c r="C27" i="12" s="1"/>
</calcChain>
</file>

<file path=xl/sharedStrings.xml><?xml version="1.0" encoding="utf-8"?>
<sst xmlns="http://schemas.openxmlformats.org/spreadsheetml/2006/main" count="1159" uniqueCount="383">
  <si>
    <t>(darba veids vai konstruktīvā elementa nosaukums)</t>
  </si>
  <si>
    <t>Pasūtījuma Nr.</t>
  </si>
  <si>
    <t xml:space="preserve">Tāmes izmaksas </t>
  </si>
  <si>
    <t> Kods</t>
  </si>
  <si>
    <t> Mērvie-nība</t>
  </si>
  <si>
    <t> Dau-dzums</t>
  </si>
  <si>
    <t> Vienības izmaksas</t>
  </si>
  <si>
    <t> Kopā uz visu apjomu</t>
  </si>
  <si>
    <t> laika norma (c/h)</t>
  </si>
  <si>
    <t> darbietilpī-ba (c/h)</t>
  </si>
  <si>
    <t>1.</t>
  </si>
  <si>
    <t>2.</t>
  </si>
  <si>
    <t>4.</t>
  </si>
  <si>
    <t>6.</t>
  </si>
  <si>
    <t>7.</t>
  </si>
  <si>
    <t>8.</t>
  </si>
  <si>
    <t>  </t>
  </si>
  <si>
    <t> Kopā</t>
  </si>
  <si>
    <t> Materiālu, grunts apmaiņas un būvgružu transporta izdevumi 5%</t>
  </si>
  <si>
    <t> Tiešās izmaksas kopā</t>
  </si>
  <si>
    <t> Sastādīja</t>
  </si>
  <si>
    <t> Pārbaudīja</t>
  </si>
  <si>
    <t> (paraksts un tā atšifrējums, datums)</t>
  </si>
  <si>
    <t>Lokālā tāme Nr.1</t>
  </si>
  <si>
    <t>Būvlaukuma sagatavošana</t>
  </si>
  <si>
    <t>Elektrības izmakasas objektam, pagaidu elektropieslēgumu uzturēšana</t>
  </si>
  <si>
    <t>Pagaidu ūdensvada ierīkošana</t>
  </si>
  <si>
    <t>Pagaidu uzskaites un sadales ierīkošana celtniecības moduļu pieslēgšanai</t>
  </si>
  <si>
    <t>Objekta asu nospraušana</t>
  </si>
  <si>
    <t>Zemes darbi</t>
  </si>
  <si>
    <t>Augsnes virskārtas noņemšana izmantojot, buldozeru</t>
  </si>
  <si>
    <t>Pamati</t>
  </si>
  <si>
    <t>3.</t>
  </si>
  <si>
    <t>5.</t>
  </si>
  <si>
    <t>Pamatu armatūras siešana, locīšana un ierīkošana</t>
  </si>
  <si>
    <t>Pamatu pēdas betonēšana - iestrāde ar sūkni</t>
  </si>
  <si>
    <t>FIBO pārsedze 250x185x1190</t>
  </si>
  <si>
    <t>Sienas</t>
  </si>
  <si>
    <t>Pārsegums &amp; Jumts</t>
  </si>
  <si>
    <t>Siltumizolācijas ierīkošana</t>
  </si>
  <si>
    <t>Jumta seguma ierīkošana</t>
  </si>
  <si>
    <t>Ārsienu apdare</t>
  </si>
  <si>
    <t>Grīdas</t>
  </si>
  <si>
    <t>Grunts blietēšana (kf=0.95)</t>
  </si>
  <si>
    <t>Dolomītšķembu ierīkošana un blietēšana (kf=0.95), b=150 mm</t>
  </si>
  <si>
    <t>dolomītšķembas , d=40-70 mm</t>
  </si>
  <si>
    <t>Smalkgraudaina stiegrota betona izveide, b=100 mm</t>
  </si>
  <si>
    <t>armatūras siets  AIII ø 8 mm, s=150x150 mm</t>
  </si>
  <si>
    <t>Ailu aizpildījumi</t>
  </si>
  <si>
    <t>Logu montāža</t>
  </si>
  <si>
    <t>kronšteini</t>
  </si>
  <si>
    <t>Durvju montāža</t>
  </si>
  <si>
    <t>PVC durvis, b=1000 mm, h=2100 mm</t>
  </si>
  <si>
    <t>Lokālā tāme Nr.8</t>
  </si>
  <si>
    <t>Lokālā tāme Nr.7</t>
  </si>
  <si>
    <t>Lokālā tāme Nr.6</t>
  </si>
  <si>
    <t>Lokālā tāme Nr.5</t>
  </si>
  <si>
    <t>Lokālā tāme Nr.4</t>
  </si>
  <si>
    <t>Lokālā tāme Nr.3</t>
  </si>
  <si>
    <t>Lokālā tāme Nr.2</t>
  </si>
  <si>
    <t>kokmateriāi asu nospraušanai</t>
  </si>
  <si>
    <t>m</t>
  </si>
  <si>
    <t> Darba nosaukums</t>
  </si>
  <si>
    <t>kpl.</t>
  </si>
  <si>
    <t>mēn.</t>
  </si>
  <si>
    <t>gab.</t>
  </si>
  <si>
    <t>1 ass</t>
  </si>
  <si>
    <t>kg</t>
  </si>
  <si>
    <t>t</t>
  </si>
  <si>
    <t>iep.</t>
  </si>
  <si>
    <t>l</t>
  </si>
  <si>
    <t> Nr.p.k.</t>
  </si>
  <si>
    <t>maš/h</t>
  </si>
  <si>
    <t>buldozers - CATERPILLAR D4K (16t)</t>
  </si>
  <si>
    <t>grunts veltnis - Bomag BW177 (7t)</t>
  </si>
  <si>
    <t>kokmateriāli veidņiem - laminēts saplāksnis (6.5 mm)</t>
  </si>
  <si>
    <t>armatūras stieņi  AIII ø 8 mm, Bst500S</t>
  </si>
  <si>
    <t>sienamās stieples 1.2 mm (L=100 mm)</t>
  </si>
  <si>
    <t>distanceri Parafix 35 mm</t>
  </si>
  <si>
    <t>mūrjava  WEBER VETONIT M100/600, 25 kg</t>
  </si>
  <si>
    <t>stūra līste ar armējošo sietu</t>
  </si>
  <si>
    <t>dien.</t>
  </si>
  <si>
    <t>vibrobliete - Enarco ZREN 3020, 210 kg</t>
  </si>
  <si>
    <t>iekšējā palodze PVC, L=1200 mm (b=300 mm)</t>
  </si>
  <si>
    <t>montāžas putas - PENOSIL GoldGun PU-Foam 65 (900 ml)</t>
  </si>
  <si>
    <t>putu pistole - PENOSIL Foam Gun G1</t>
  </si>
  <si>
    <t>dībelis 10x100+skrūve (6)</t>
  </si>
  <si>
    <t>dienā</t>
  </si>
  <si>
    <t>Tranšeju noblietēšana ar vibroveltni:</t>
  </si>
  <si>
    <t>Notekcauruļu montāža</t>
  </si>
  <si>
    <t>Notekreņu montāža</t>
  </si>
  <si>
    <t>(Darba veids vai konstruktīvā elementa nosaukums)</t>
  </si>
  <si>
    <t xml:space="preserve">Kopējā darbietilpība, c/st </t>
  </si>
  <si>
    <t>Kods, tāmes Nr.</t>
  </si>
  <si>
    <t>Darba veids vai konstruktīvā elementa nosaukums</t>
  </si>
  <si>
    <t>Tai skaitā:</t>
  </si>
  <si>
    <t>Darbietilpība ( c/h)</t>
  </si>
  <si>
    <t>Virsizdevumi ( 5%)</t>
  </si>
  <si>
    <t>T.sk.darba aizsardzība (1%)</t>
  </si>
  <si>
    <t>Peļņa (5%)</t>
  </si>
  <si>
    <t>Pavisam kopā</t>
  </si>
  <si>
    <t>Sertifikāta Nr.______________</t>
  </si>
  <si>
    <t>APSTIPRINU</t>
  </si>
  <si>
    <t>(pasūtītāja paraksts un tā atšifrējums)</t>
  </si>
  <si>
    <t>Z.V.</t>
  </si>
  <si>
    <t> Objekta nosaukums</t>
  </si>
  <si>
    <t> Objekta izmaksas</t>
  </si>
  <si>
    <t>Kopā</t>
  </si>
  <si>
    <t xml:space="preserve"> PVN (21%)</t>
  </si>
  <si>
    <t> Kopā ar PVN</t>
  </si>
  <si>
    <t>Finanšu rezerve neparedzētiem darbiem (5%):</t>
  </si>
  <si>
    <t>Pievienotās vērtības nodoklis (21% )</t>
  </si>
  <si>
    <t> Pavisam būvniecības izmaksas</t>
  </si>
  <si>
    <t> Ar būvniecību saistītie pārējie izdevumi:</t>
  </si>
  <si>
    <t> būvuzraudzība 4%</t>
  </si>
  <si>
    <t xml:space="preserve"> būvprojekta autoruzraudzība </t>
  </si>
  <si>
    <t> izpētes un projektēšanas darbi</t>
  </si>
  <si>
    <t xml:space="preserve"> būvprojekta ekspertīze </t>
  </si>
  <si>
    <t>Būvprojekta vadītājs</t>
  </si>
  <si>
    <t>Tāme sastādīta:</t>
  </si>
  <si>
    <t>Nr.p.k.</t>
  </si>
  <si>
    <t>N.p.k</t>
  </si>
  <si>
    <t>Nosaukums</t>
  </si>
  <si>
    <t>Apzīmējums</t>
  </si>
  <si>
    <t>Mērvienība</t>
  </si>
  <si>
    <t>Aprēķina formula</t>
  </si>
  <si>
    <t>Būvdarbu kopējās tāmes izmaksas bez PVN</t>
  </si>
  <si>
    <t>C</t>
  </si>
  <si>
    <t>Tai sk. Tiešās tāmes izmaksas</t>
  </si>
  <si>
    <t>C t</t>
  </si>
  <si>
    <t>Normatīvā darbietilpība</t>
  </si>
  <si>
    <t>Dn</t>
  </si>
  <si>
    <t>C-st</t>
  </si>
  <si>
    <t>Dn'</t>
  </si>
  <si>
    <t>C-d</t>
  </si>
  <si>
    <t>Dienas izstrāde</t>
  </si>
  <si>
    <t>I</t>
  </si>
  <si>
    <t>Kopājā strādnieku darba alga</t>
  </si>
  <si>
    <t>A</t>
  </si>
  <si>
    <t>Vidējais strādnieku skaits būvobjektā</t>
  </si>
  <si>
    <t>L</t>
  </si>
  <si>
    <t>cilv</t>
  </si>
  <si>
    <t>Vidējā strādnieka  dienas darba alga</t>
  </si>
  <si>
    <t>Avid 1</t>
  </si>
  <si>
    <t>Vidējā strādnieka  mēneša darba alga</t>
  </si>
  <si>
    <t>Avid 2</t>
  </si>
  <si>
    <t>Normatīvais celtniecības ilgums</t>
  </si>
  <si>
    <t>T</t>
  </si>
  <si>
    <t>mēn</t>
  </si>
  <si>
    <t>Ēkas kopējā platība</t>
  </si>
  <si>
    <t>S</t>
  </si>
  <si>
    <t>m2</t>
  </si>
  <si>
    <t>Ēkas būvapjoms</t>
  </si>
  <si>
    <t>V</t>
  </si>
  <si>
    <t>m3</t>
  </si>
  <si>
    <t>sūknis betona sūknēšanai</t>
  </si>
  <si>
    <t>transporta izdevumi (betona piegādei)</t>
  </si>
  <si>
    <t>06-10004</t>
  </si>
  <si>
    <t>06-13016</t>
  </si>
  <si>
    <t>03-00901</t>
  </si>
  <si>
    <t>03-01201</t>
  </si>
  <si>
    <t>03-01402</t>
  </si>
  <si>
    <t>03-04003</t>
  </si>
  <si>
    <t>03-21001</t>
  </si>
  <si>
    <t>05-00012</t>
  </si>
  <si>
    <t>05-10501</t>
  </si>
  <si>
    <t>05-20009</t>
  </si>
  <si>
    <t>13-00305</t>
  </si>
  <si>
    <t>09-09101</t>
  </si>
  <si>
    <t>09-15006</t>
  </si>
  <si>
    <t>09-15302</t>
  </si>
  <si>
    <t>13-00103</t>
  </si>
  <si>
    <t>13-00203</t>
  </si>
  <si>
    <t>05-30032</t>
  </si>
  <si>
    <t>08-03001</t>
  </si>
  <si>
    <t>08-03707</t>
  </si>
  <si>
    <t>08-03701</t>
  </si>
  <si>
    <t>stiptinājumi</t>
  </si>
  <si>
    <t xml:space="preserve">PVC notekcaurule </t>
  </si>
  <si>
    <t>PVC notekcaurules izliekums</t>
  </si>
  <si>
    <t>teknes gali</t>
  </si>
  <si>
    <t>PVC notektekne 127 mm</t>
  </si>
  <si>
    <t>pacēlājs Haulotte H18SXL (18 m)</t>
  </si>
  <si>
    <t>Dorša_kat._26.lpp_1-39</t>
  </si>
  <si>
    <t>E2-1-34, 1.tab</t>
  </si>
  <si>
    <t>E2-1-33, 1.tab</t>
  </si>
  <si>
    <t>koka brusas (50x50 mm)</t>
  </si>
  <si>
    <t>Logu ailu apdare no iekšpuses</t>
  </si>
  <si>
    <t>špaktele Sheetrock Light</t>
  </si>
  <si>
    <t>Durvju ailu apdare no iekšpuses</t>
  </si>
  <si>
    <t>vibrokāja - Bomag BT 65/4</t>
  </si>
  <si>
    <t>diena</t>
  </si>
  <si>
    <t>Būvgružu konteineri - Betafence AK8M3 (8m3) -   2 gab.</t>
  </si>
  <si>
    <t>Biotualets īre ar apaklpošanu divas reizes mēnesī - TUFWAY standart - 2 gab.</t>
  </si>
  <si>
    <t>Strādājošo sadzīves telpas - moduļveida mājiņas (2.44x6.06 m, h=2.5 m) - 3 gab.</t>
  </si>
  <si>
    <t>armatūras locītājs DEL-35</t>
  </si>
  <si>
    <t>armatūras griezējs CEL-35</t>
  </si>
  <si>
    <t> darba samaksas likme (EUR/h)</t>
  </si>
  <si>
    <t> darba alga (EUR)</t>
  </si>
  <si>
    <t> materiāli (EUR)</t>
  </si>
  <si>
    <t> mehā-nismi (EUR)</t>
  </si>
  <si>
    <t> kopā (EUR)</t>
  </si>
  <si>
    <t> summa (EUR)</t>
  </si>
  <si>
    <t>0,55 m augstu koka pamatu pēdas ieveidņu sagatavošana un uzstādīšana, demontāža</t>
  </si>
  <si>
    <t>Skrūves 3,5*55 mm</t>
  </si>
  <si>
    <t>distanceri Parafix 70 mm</t>
  </si>
  <si>
    <t>Sarga mājiņa (2,5x2,5x2,5m)-1 gab</t>
  </si>
  <si>
    <t>03-04023</t>
  </si>
  <si>
    <t>Grunts rakšana mehanizēti līdz pamatu atzīmei, novietojot atbērtnē ēkas teritorijā</t>
  </si>
  <si>
    <t>būvbedres rakšana ar lāpstu papildus vēl 0.20 m dziļumā</t>
  </si>
  <si>
    <t>būvbedru aizbēršana pēc pamatu betonēšanas, izmantojot buldozeru</t>
  </si>
  <si>
    <t>100 m3</t>
  </si>
  <si>
    <t>3 m platas tranšejas rakšana kanaliem ar ekskavatoru, dziļumā 1 m</t>
  </si>
  <si>
    <t>ekskavators - Kubota KX101 (18t)</t>
  </si>
  <si>
    <t xml:space="preserve"> ekskavators - Kubota KX101 (18t)</t>
  </si>
  <si>
    <t>Grunts pamatnes blietēšana pamatiem</t>
  </si>
  <si>
    <t>Blietēta šķembojuma pamatkārtas ierīkošana pamatiem</t>
  </si>
  <si>
    <t>Grunts pamatnes blietēšana kanaliem</t>
  </si>
  <si>
    <t>Blietēta šķembojuma pamatkārtas ierīkošana kanāliem</t>
  </si>
  <si>
    <t>vibrobliete - Bomag CT 70/25</t>
  </si>
  <si>
    <t>05-01001</t>
  </si>
  <si>
    <t xml:space="preserve"> - veidņu komplekta īre</t>
  </si>
  <si>
    <t>dnn.</t>
  </si>
  <si>
    <t xml:space="preserve"> - kokmateriāli</t>
  </si>
  <si>
    <t>Veidņu uzstādīšana kanalu betonēšanai</t>
  </si>
  <si>
    <t>Kanālu armatūras siešana, locīšana un ierīkošana</t>
  </si>
  <si>
    <t>armatūras stieņi  AIII ø 10 mm, Bst500S</t>
  </si>
  <si>
    <t>armatūras stieņi  AIII ø 12 mm, Bst500S</t>
  </si>
  <si>
    <t xml:space="preserve">betons C25/30 </t>
  </si>
  <si>
    <t>Kanālu betonēšana - iestrāde ar sūkni</t>
  </si>
  <si>
    <t>Pamati/Kanāli</t>
  </si>
  <si>
    <t>Dorša_kat._46.lpp_5-34d</t>
  </si>
  <si>
    <t>CW metāla profili 2.6m b=100mm</t>
  </si>
  <si>
    <t>UW metāla profili 3.0m b=100mm</t>
  </si>
  <si>
    <t>Skrūves ar smalko vītni 32x3.5</t>
  </si>
  <si>
    <t>1000. gab.</t>
  </si>
  <si>
    <t>Sietlenta 90 m</t>
  </si>
  <si>
    <t>Smilšpapīrs N 100</t>
  </si>
  <si>
    <t>Dorša_kat._65.lpp_9-5b</t>
  </si>
  <si>
    <t>Dorša_kat._65.lpp_9-5</t>
  </si>
  <si>
    <t>Dufa Wandfarbe emulsija griestiem un sienām 10l</t>
  </si>
  <si>
    <t>Knauf grunts Tiefengrund LF 15l</t>
  </si>
  <si>
    <t>Ģipškartona loksnes 2.5m</t>
  </si>
  <si>
    <t>Smalkā ģipša špakteļmasa 25 kg</t>
  </si>
  <si>
    <t>Sienu/griestu krāsošana</t>
  </si>
  <si>
    <t>Sienu/griestu gruntēšana</t>
  </si>
  <si>
    <t>Dz/b panelis C-1 160x2130x4800</t>
  </si>
  <si>
    <t>Dz/b panelis C-2 160x2130x2810</t>
  </si>
  <si>
    <t>Dz/b panelis C-3 160x1180x3100</t>
  </si>
  <si>
    <t>Dz/b panelis C-4 160x2130x4810</t>
  </si>
  <si>
    <t>Dz/b panelis C-5 160x1180x3150</t>
  </si>
  <si>
    <t>Dz/b panelis C-6 160x1180x3070</t>
  </si>
  <si>
    <t>Dz/b panelis C-7 160x1180x3070</t>
  </si>
  <si>
    <t>Dz/b panelis C-8 160x2130x2810</t>
  </si>
  <si>
    <t>Dz/b panelis SP-2 160x3300x2810</t>
  </si>
  <si>
    <t>Dz/b panelis SP-1 160x3300x4800</t>
  </si>
  <si>
    <t>Dz/b panelis SP-3 160x3300x3100</t>
  </si>
  <si>
    <t>Dz/b panelis SP-4 160x3300x2620</t>
  </si>
  <si>
    <t xml:space="preserve">Dzelsbetona paneļu montāžā </t>
  </si>
  <si>
    <t>teleskopiskais iekrāvējs, 14m, 8t</t>
  </si>
  <si>
    <t>Tērauda skārda sienu apšūšana</t>
  </si>
  <si>
    <t>Skārds T20 profils</t>
  </si>
  <si>
    <t>Skrūves ar smalko vītni 32x5,5, pašblīvējošās</t>
  </si>
  <si>
    <t>1000 gab.</t>
  </si>
  <si>
    <t>Tērauda kolonnu montāža</t>
  </si>
  <si>
    <t>Tērauda kolonnas K-1, 24 gab.</t>
  </si>
  <si>
    <t>Uzgriežņi M18</t>
  </si>
  <si>
    <t>Uzgriežņi M20</t>
  </si>
  <si>
    <t>Paplāksnes</t>
  </si>
  <si>
    <t>Gludie enkuri M20x530</t>
  </si>
  <si>
    <t>Mobilais celtnis LIEBHERR LTM 1040-2.1</t>
  </si>
  <si>
    <t>Tērauda rīģeļu montāža</t>
  </si>
  <si>
    <t>Tērauda rīģeļi J-1, 24 gab.</t>
  </si>
  <si>
    <t>Nesošās virszemes konstrukcijas</t>
  </si>
  <si>
    <t>Jumta koka kopturu montāža</t>
  </si>
  <si>
    <t>Koka kopturi 160x125mm</t>
  </si>
  <si>
    <t>Bultskrūves M18x90mm</t>
  </si>
  <si>
    <t>Kokskrūves M12x80mm</t>
  </si>
  <si>
    <t>Ēkas garensaišu montāža</t>
  </si>
  <si>
    <t>Garensaites GS-1</t>
  </si>
  <si>
    <t>Vēja saites VS-1</t>
  </si>
  <si>
    <t>Bultskrūves M18x55mm</t>
  </si>
  <si>
    <t>Ēkas gala sienu statu montāža</t>
  </si>
  <si>
    <t>Bultskrūves M16x75mm</t>
  </si>
  <si>
    <t>Tērauda gala sienas stati</t>
  </si>
  <si>
    <t>Gludie enkuri M16x400</t>
  </si>
  <si>
    <t>Uzgriežņi M16</t>
  </si>
  <si>
    <t>Jumts</t>
  </si>
  <si>
    <t>Poliuretāna siltumizolācijas paneļi, t=50mm</t>
  </si>
  <si>
    <t>Stiprinājuma skrūves</t>
  </si>
  <si>
    <t>1000 gab</t>
  </si>
  <si>
    <t>Bezasbesta viļņotās jumta loksnes 2500x1130</t>
  </si>
  <si>
    <t>jumta skrūves sp.31 6x110</t>
  </si>
  <si>
    <t>Vējmalu/koru apdare ar skārdu</t>
  </si>
  <si>
    <t>tm</t>
  </si>
  <si>
    <t>Skārda apšuvums</t>
  </si>
  <si>
    <t>skrūves sp.31 4,8x45</t>
  </si>
  <si>
    <t>Hidroizolācijas ieklāšana</t>
  </si>
  <si>
    <t>hidroizolācija - polietilēna plēve ELT-PEFOIL 200 (0.2 mm)</t>
  </si>
  <si>
    <t>Ekstrudētais putupolistirols EPS150, t=100mm</t>
  </si>
  <si>
    <t>betons C25/30</t>
  </si>
  <si>
    <t>Redeļgrīdu montāža</t>
  </si>
  <si>
    <t>Geīdas redeles ar izmēriem 2500x350x140mm</t>
  </si>
  <si>
    <t>Geīdas redeles ar izmēriem 3000x350x140mm</t>
  </si>
  <si>
    <t>Geīdas redeles ar izmēriem 3200x350x140mm</t>
  </si>
  <si>
    <t>Geīdas redeles ar izmēriem 2000x350x140mm</t>
  </si>
  <si>
    <t>PVC logs 1200x1800 mm</t>
  </si>
  <si>
    <t>Ārdurvju D-2 - PVC  krāsa - balta, rokturis - FSB 1076 alumīnija. Uzstādīšana</t>
  </si>
  <si>
    <t>Ārdurvju D-1 - PVC konstrukcija, krāsa - balta, rokturis - FSB 1076 alumīnija. Uzstādīšana</t>
  </si>
  <si>
    <t>PVC durvis, b=800 mm, h=2100 mm</t>
  </si>
  <si>
    <t xml:space="preserve">Vārti D-3Tērauda karkasa, siltinātas; -Koka dēļu apšuvums, krāsots;  </t>
  </si>
  <si>
    <t>Vārti D-3, b=2800mm, h=3600mm</t>
  </si>
  <si>
    <t xml:space="preserve">Vārti D-4 Tērauda karkasa, siltinātas; -Koka dēļu apšuvums, krāsots;  </t>
  </si>
  <si>
    <t>Vārti D-4, b=4500mm, h=3600mm</t>
  </si>
  <si>
    <t xml:space="preserve">Vārti D-5Tērauda karkasa, siltinātas; -Koka dēļu apšuvums, krāsots;  </t>
  </si>
  <si>
    <t>Vārti D-25, b=2200mm, h=3600mm</t>
  </si>
  <si>
    <t>Vārti D-6, b=1500mm, h=2800mm</t>
  </si>
  <si>
    <t>Vārti D-6 Iebūvētas personāla durvis. Ar vārtu atvēršanas aprīkojumu no iekšpuses, Aprīkoti ar nokrišanas aizsardzību, Krāsotas (tonis-brūns RAL 8016);</t>
  </si>
  <si>
    <t>Darba devēja soc.nodoklis (23,59%)</t>
  </si>
  <si>
    <t>Par kopējo summu, EUR</t>
  </si>
  <si>
    <t>Tāmes izmaksa (EUR)</t>
  </si>
  <si>
    <t>Darba alga (EUR)</t>
  </si>
  <si>
    <t xml:space="preserve"> Materiāli (EUR) </t>
  </si>
  <si>
    <t>Mehānismi (EUR)</t>
  </si>
  <si>
    <t>(EUR)</t>
  </si>
  <si>
    <t>EUR</t>
  </si>
  <si>
    <t>EUR/c-d</t>
  </si>
  <si>
    <t>EUR/mēn</t>
  </si>
  <si>
    <r>
      <t xml:space="preserve">Būves nosaukums </t>
    </r>
    <r>
      <rPr>
        <sz val="12"/>
        <rFont val="Calibri"/>
        <family val="2"/>
        <charset val="186"/>
        <scheme val="minor"/>
      </rPr>
      <t xml:space="preserve">Ferma 65 slaucamām govīm </t>
    </r>
  </si>
  <si>
    <r>
      <t xml:space="preserve">Objekta nosaukums: </t>
    </r>
    <r>
      <rPr>
        <sz val="12"/>
        <rFont val="Calibri"/>
        <family val="2"/>
        <charset val="186"/>
        <scheme val="minor"/>
      </rPr>
      <t>Lauksaimniecības ēka</t>
    </r>
  </si>
  <si>
    <r>
      <t>100 m</t>
    </r>
    <r>
      <rPr>
        <vertAlign val="superscript"/>
        <sz val="10"/>
        <rFont val="Calibri"/>
        <family val="2"/>
        <charset val="186"/>
        <scheme val="minor"/>
      </rPr>
      <t>3</t>
    </r>
  </si>
  <si>
    <r>
      <t>m</t>
    </r>
    <r>
      <rPr>
        <vertAlign val="superscript"/>
        <sz val="10"/>
        <rFont val="Calibri"/>
        <family val="2"/>
        <charset val="186"/>
        <scheme val="minor"/>
      </rPr>
      <t>3</t>
    </r>
  </si>
  <si>
    <r>
      <t>m</t>
    </r>
    <r>
      <rPr>
        <vertAlign val="superscript"/>
        <sz val="10"/>
        <rFont val="Calibri"/>
        <family val="2"/>
        <charset val="186"/>
        <scheme val="minor"/>
      </rPr>
      <t>2</t>
    </r>
  </si>
  <si>
    <r>
      <t>m</t>
    </r>
    <r>
      <rPr>
        <vertAlign val="superscript"/>
        <sz val="8"/>
        <rFont val="Calibri"/>
        <family val="2"/>
        <charset val="186"/>
        <scheme val="minor"/>
      </rPr>
      <t>2</t>
    </r>
  </si>
  <si>
    <r>
      <t xml:space="preserve">Loga </t>
    </r>
    <r>
      <rPr>
        <b/>
        <sz val="10"/>
        <rFont val="Calibri"/>
        <family val="2"/>
        <charset val="186"/>
        <scheme val="minor"/>
      </rPr>
      <t>L-1</t>
    </r>
    <r>
      <rPr>
        <sz val="10"/>
        <rFont val="Calibri"/>
        <family val="2"/>
        <charset val="186"/>
        <scheme val="minor"/>
      </rPr>
      <t xml:space="preserve"> - PVC rāmis, stikla pakete, krāsojums - balts, verams uz iekšu. Uzstādīšana</t>
    </r>
  </si>
  <si>
    <r>
      <t> </t>
    </r>
    <r>
      <rPr>
        <b/>
        <sz val="10"/>
        <rFont val="Calibri"/>
        <family val="2"/>
        <charset val="186"/>
        <scheme val="minor"/>
      </rPr>
      <t>Kopā</t>
    </r>
  </si>
  <si>
    <t>Ēkas vēja saišu montāža</t>
  </si>
  <si>
    <t xml:space="preserve">Ģipškartona starpsienu izbūve ar  loksnēm un metāla karkasa CW 100 </t>
  </si>
  <si>
    <t>Nesošo sienu mūrēšana no gāzbetona blokiem</t>
  </si>
  <si>
    <t>AEROC EcoLight 200x200x600</t>
  </si>
  <si>
    <t>Gāzbetona ailu pārsedžu montāža</t>
  </si>
  <si>
    <t>Slaucamās govs guļvietas izmaksas</t>
  </si>
  <si>
    <t>c</t>
  </si>
  <si>
    <t>EUR/guļvietā</t>
  </si>
  <si>
    <t>Ferma 65 slaucamām govīm</t>
  </si>
  <si>
    <t xml:space="preserve">Tāme sastādīta 2015 gada tirgus cenās, pamatojoties uz AR/DVP daļas rasējumiem.                            </t>
  </si>
  <si>
    <t xml:space="preserve">Objekta adrese: </t>
  </si>
  <si>
    <r>
      <t xml:space="preserve">Pasūtījuma Nr.    </t>
    </r>
    <r>
      <rPr>
        <sz val="12"/>
        <rFont val="Calibri"/>
        <family val="2"/>
        <charset val="186"/>
        <scheme val="minor"/>
      </rPr>
      <t xml:space="preserve"> </t>
    </r>
  </si>
  <si>
    <t xml:space="preserve">Pasūtījuma Nr.  </t>
  </si>
  <si>
    <t xml:space="preserve">Ferma 65 slaucamām govīm </t>
  </si>
  <si>
    <t>Lokālā tāme Nr.9</t>
  </si>
  <si>
    <t>Fermas tehnologiskais aprīkojums</t>
  </si>
  <si>
    <r>
      <t xml:space="preserve">Būves nosaukums </t>
    </r>
    <r>
      <rPr>
        <sz val="12"/>
        <rFont val="Calibri"/>
        <family val="2"/>
        <charset val="186"/>
      </rPr>
      <t xml:space="preserve">Ferma 65 slaucamām govīm </t>
    </r>
  </si>
  <si>
    <r>
      <t xml:space="preserve">Objekta nosaukums: </t>
    </r>
    <r>
      <rPr>
        <sz val="12"/>
        <rFont val="Calibri"/>
        <family val="2"/>
        <charset val="186"/>
      </rPr>
      <t>Lauksaimniecības ēka rob. +kanali</t>
    </r>
  </si>
  <si>
    <t xml:space="preserve">Tāme sastādīta 2015 gada tirgus cenās, pamatojoties uz AR/BK daļas rasējumiem.                            </t>
  </si>
  <si>
    <t> Nr.</t>
  </si>
  <si>
    <t> Darba</t>
  </si>
  <si>
    <t>p.k.</t>
  </si>
  <si>
    <t>nosaukums</t>
  </si>
  <si>
    <t> materiāli  (EUR)</t>
  </si>
  <si>
    <t> mehā-nismi  (EUR)</t>
  </si>
  <si>
    <t> kopā  (EUR)</t>
  </si>
  <si>
    <t>Slaukšanas robots MiOne-1 viena boksa sistēma līdz 200 slaukumiem ar virzīto izeju un selekcijas vārtiem trīs virzienos, automātiskā atpazīšana.</t>
  </si>
  <si>
    <t>Piena dzesētājs 2100 litri,Robota versija ar ūdens 
rekuperācijas sistēmu</t>
  </si>
  <si>
    <t>Ar jūgvārpstu darbināms maisītājs kanāliem</t>
  </si>
  <si>
    <t>Sparaugu grīdu tīrīšanas robots-stūmējs</t>
  </si>
  <si>
    <t>Govju birstes 2 komplekti</t>
  </si>
  <si>
    <t>Guļvietas kūtī 96 vietas OPTIMA</t>
  </si>
  <si>
    <t xml:space="preserve">Krūšu atbaslst 96  guļvietām </t>
  </si>
  <si>
    <t>Govju dzirdnes 2x WM 600, 1x WM 300</t>
  </si>
  <si>
    <t>Vārti kūtī kopā 13 kompl 2,6 līdz 3,2 metri</t>
  </si>
  <si>
    <t>Barības galda nožogojums 82 tekoši metri</t>
  </si>
  <si>
    <t>Stacionārie nožogojumi 28 metri</t>
  </si>
  <si>
    <t>Jumta korīte 2,6metri x 46 metri</t>
  </si>
  <si>
    <t>Korītes sānu aizvari regulējami 46 metri</t>
  </si>
  <si>
    <t>Sānu aizkari ar manuālu atvēršanuno balta PVC materiāla 2,2metrix48 metri un 2,2 metri x33 metri</t>
  </si>
  <si>
    <t> Materiālu, grunts apmaiņas un būvgružu transporta izdevumi</t>
  </si>
  <si>
    <t>Tāme sastādīta 2015. gada 22 novembrī</t>
  </si>
  <si>
    <t>Tāme sastādīta 2013. gada 22 novembrī</t>
  </si>
  <si>
    <t>2015. gada 22. novembrī</t>
  </si>
  <si>
    <t>2013. gada 22. novembrī</t>
  </si>
  <si>
    <t>9.</t>
  </si>
  <si>
    <t>Aprīkojums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</si>
</sst>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[$€-2]\ * #,##0.00_-;\-[$€-2]\ * #,##0.00_-;_-[$€-2]\ * &quot;-&quot;??_-;_-@_-"/>
    <numFmt numFmtId="166" formatCode="0&quot;cilv&quot;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vertAlign val="superscript"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vertAlign val="superscript"/>
      <sz val="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1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2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/>
    <xf numFmtId="165" fontId="10" fillId="0" borderId="2" xfId="0" applyNumberFormat="1" applyFont="1" applyBorder="1"/>
    <xf numFmtId="0" fontId="10" fillId="0" borderId="2" xfId="0" applyFont="1" applyBorder="1"/>
    <xf numFmtId="0" fontId="10" fillId="0" borderId="0" xfId="0" applyFont="1" applyAlignment="1">
      <alignment vertical="top"/>
    </xf>
    <xf numFmtId="0" fontId="10" fillId="0" borderId="2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/>
    </xf>
    <xf numFmtId="2" fontId="10" fillId="0" borderId="35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2" fontId="10" fillId="0" borderId="16" xfId="0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 wrapText="1"/>
    </xf>
    <xf numFmtId="4" fontId="10" fillId="0" borderId="36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 wrapText="1"/>
    </xf>
    <xf numFmtId="0" fontId="10" fillId="0" borderId="48" xfId="0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center" vertical="center" wrapText="1"/>
    </xf>
    <xf numFmtId="4" fontId="10" fillId="0" borderId="4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2" fontId="10" fillId="2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 wrapText="1"/>
    </xf>
    <xf numFmtId="0" fontId="10" fillId="0" borderId="24" xfId="0" applyFont="1" applyBorder="1" applyAlignment="1">
      <alignment vertical="top"/>
    </xf>
    <xf numFmtId="0" fontId="10" fillId="0" borderId="11" xfId="0" applyFont="1" applyBorder="1" applyAlignment="1">
      <alignment horizontal="center" vertical="center" wrapText="1"/>
    </xf>
    <xf numFmtId="2" fontId="14" fillId="0" borderId="11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top" wrapText="1"/>
    </xf>
    <xf numFmtId="0" fontId="10" fillId="0" borderId="27" xfId="0" applyFont="1" applyBorder="1" applyAlignment="1">
      <alignment vertical="top"/>
    </xf>
    <xf numFmtId="0" fontId="10" fillId="0" borderId="28" xfId="0" applyFont="1" applyBorder="1" applyAlignment="1">
      <alignment vertical="top" wrapText="1"/>
    </xf>
    <xf numFmtId="0" fontId="14" fillId="0" borderId="31" xfId="0" applyFont="1" applyBorder="1" applyAlignment="1">
      <alignment horizontal="center" vertical="center" wrapText="1"/>
    </xf>
    <xf numFmtId="2" fontId="14" fillId="0" borderId="31" xfId="0" applyNumberFormat="1" applyFont="1" applyBorder="1" applyAlignment="1">
      <alignment horizontal="center" vertical="center" wrapText="1"/>
    </xf>
    <xf numFmtId="2" fontId="14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/>
    <xf numFmtId="0" fontId="10" fillId="0" borderId="0" xfId="0" applyFont="1" applyAlignment="1">
      <alignment horizontal="justify"/>
    </xf>
    <xf numFmtId="0" fontId="10" fillId="0" borderId="0" xfId="0" applyFont="1" applyAlignment="1"/>
    <xf numFmtId="0" fontId="10" fillId="0" borderId="0" xfId="0" applyFont="1" applyAlignment="1">
      <alignment horizontal="center" vertical="top"/>
    </xf>
    <xf numFmtId="2" fontId="10" fillId="2" borderId="1" xfId="0" applyNumberFormat="1" applyFont="1" applyFill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39" xfId="0" applyNumberFormat="1" applyFont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5" xfId="0" applyFont="1" applyBorder="1" applyAlignment="1">
      <alignment horizontal="right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wrapText="1"/>
    </xf>
    <xf numFmtId="2" fontId="10" fillId="2" borderId="4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2" fontId="10" fillId="0" borderId="11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 wrapText="1"/>
    </xf>
    <xf numFmtId="2" fontId="10" fillId="0" borderId="25" xfId="0" applyNumberFormat="1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2" fontId="14" fillId="0" borderId="31" xfId="0" applyNumberFormat="1" applyFont="1" applyBorder="1" applyAlignment="1">
      <alignment horizontal="center" wrapText="1"/>
    </xf>
    <xf numFmtId="2" fontId="14" fillId="0" borderId="32" xfId="0" applyNumberFormat="1" applyFont="1" applyBorder="1" applyAlignment="1">
      <alignment horizont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2" fontId="10" fillId="0" borderId="46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right" vertical="top" wrapText="1"/>
    </xf>
    <xf numFmtId="0" fontId="10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left" vertical="center"/>
    </xf>
    <xf numFmtId="166" fontId="10" fillId="0" borderId="11" xfId="2" applyNumberFormat="1" applyFont="1" applyFill="1" applyBorder="1" applyAlignment="1">
      <alignment horizontal="center" vertical="center" wrapText="1"/>
    </xf>
    <xf numFmtId="0" fontId="10" fillId="0" borderId="11" xfId="2" applyNumberFormat="1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wrapText="1"/>
    </xf>
    <xf numFmtId="0" fontId="10" fillId="0" borderId="1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10" fillId="0" borderId="14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2" fontId="10" fillId="0" borderId="9" xfId="0" applyNumberFormat="1" applyFont="1" applyFill="1" applyBorder="1" applyAlignment="1">
      <alignment horizontal="center" vertical="center"/>
    </xf>
    <xf numFmtId="2" fontId="10" fillId="0" borderId="49" xfId="0" applyNumberFormat="1" applyFont="1" applyFill="1" applyBorder="1" applyAlignment="1">
      <alignment horizontal="center" vertical="center"/>
    </xf>
    <xf numFmtId="2" fontId="10" fillId="0" borderId="14" xfId="0" applyNumberFormat="1" applyFont="1" applyFill="1" applyBorder="1" applyAlignment="1">
      <alignment horizontal="center" vertical="center" wrapText="1"/>
    </xf>
    <xf numFmtId="2" fontId="10" fillId="0" borderId="3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 wrapText="1"/>
    </xf>
    <xf numFmtId="2" fontId="10" fillId="0" borderId="63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right" wrapText="1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wrapText="1"/>
    </xf>
    <xf numFmtId="2" fontId="10" fillId="0" borderId="12" xfId="0" applyNumberFormat="1" applyFont="1" applyFill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 vertical="center" wrapText="1"/>
    </xf>
    <xf numFmtId="4" fontId="10" fillId="0" borderId="3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2" fontId="10" fillId="0" borderId="1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2" fontId="10" fillId="0" borderId="48" xfId="0" applyNumberFormat="1" applyFont="1" applyFill="1" applyBorder="1" applyAlignment="1">
      <alignment horizontal="center" vertical="center"/>
    </xf>
    <xf numFmtId="2" fontId="10" fillId="0" borderId="35" xfId="0" applyNumberFormat="1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2" fontId="10" fillId="0" borderId="66" xfId="0" applyNumberFormat="1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2" fontId="14" fillId="0" borderId="16" xfId="0" applyNumberFormat="1" applyFont="1" applyBorder="1" applyAlignment="1">
      <alignment horizontal="center" vertical="center" wrapText="1"/>
    </xf>
    <xf numFmtId="2" fontId="14" fillId="0" borderId="36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left" wrapText="1"/>
    </xf>
    <xf numFmtId="2" fontId="10" fillId="2" borderId="38" xfId="0" applyNumberFormat="1" applyFont="1" applyFill="1" applyBorder="1" applyAlignment="1">
      <alignment horizontal="center" vertical="center"/>
    </xf>
    <xf numFmtId="2" fontId="10" fillId="2" borderId="19" xfId="0" applyNumberFormat="1" applyFont="1" applyFill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wrapText="1"/>
    </xf>
    <xf numFmtId="4" fontId="10" fillId="0" borderId="20" xfId="0" applyNumberFormat="1" applyFont="1" applyBorder="1" applyAlignment="1">
      <alignment horizontal="center" wrapText="1"/>
    </xf>
    <xf numFmtId="4" fontId="10" fillId="0" borderId="2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2" fontId="10" fillId="2" borderId="12" xfId="0" applyNumberFormat="1" applyFont="1" applyFill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wrapText="1"/>
    </xf>
    <xf numFmtId="4" fontId="10" fillId="0" borderId="25" xfId="0" applyNumberFormat="1" applyFont="1" applyBorder="1" applyAlignment="1">
      <alignment horizont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top" wrapText="1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 wrapText="1"/>
    </xf>
    <xf numFmtId="0" fontId="8" fillId="0" borderId="11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/>
    </xf>
    <xf numFmtId="2" fontId="10" fillId="0" borderId="0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wrapText="1"/>
    </xf>
    <xf numFmtId="4" fontId="10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vertical="top" wrapText="1"/>
    </xf>
    <xf numFmtId="2" fontId="14" fillId="0" borderId="3" xfId="0" applyNumberFormat="1" applyFont="1" applyBorder="1" applyAlignment="1">
      <alignment horizontal="center" wrapText="1"/>
    </xf>
    <xf numFmtId="2" fontId="14" fillId="0" borderId="5" xfId="0" applyNumberFormat="1" applyFont="1" applyBorder="1" applyAlignment="1">
      <alignment horizontal="center" wrapText="1"/>
    </xf>
    <xf numFmtId="2" fontId="14" fillId="0" borderId="25" xfId="0" applyNumberFormat="1" applyFont="1" applyBorder="1" applyAlignment="1">
      <alignment horizontal="center" wrapText="1"/>
    </xf>
    <xf numFmtId="165" fontId="10" fillId="0" borderId="2" xfId="0" applyNumberFormat="1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0" borderId="4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2" borderId="45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right" wrapText="1"/>
    </xf>
    <xf numFmtId="0" fontId="7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Border="1"/>
    <xf numFmtId="165" fontId="10" fillId="0" borderId="2" xfId="0" applyNumberFormat="1" applyFont="1" applyFill="1" applyBorder="1"/>
    <xf numFmtId="0" fontId="10" fillId="0" borderId="2" xfId="0" applyFont="1" applyFill="1" applyBorder="1"/>
    <xf numFmtId="0" fontId="12" fillId="0" borderId="3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wrapText="1"/>
    </xf>
    <xf numFmtId="0" fontId="10" fillId="0" borderId="38" xfId="0" applyFont="1" applyFill="1" applyBorder="1" applyAlignment="1">
      <alignment horizontal="center" vertical="center"/>
    </xf>
    <xf numFmtId="2" fontId="10" fillId="0" borderId="19" xfId="0" applyNumberFormat="1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/>
    </xf>
    <xf numFmtId="4" fontId="10" fillId="0" borderId="39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top" wrapText="1"/>
    </xf>
    <xf numFmtId="2" fontId="10" fillId="0" borderId="14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 wrapText="1"/>
    </xf>
    <xf numFmtId="0" fontId="10" fillId="0" borderId="24" xfId="0" applyFont="1" applyFill="1" applyBorder="1" applyAlignment="1">
      <alignment vertical="top"/>
    </xf>
    <xf numFmtId="0" fontId="10" fillId="0" borderId="5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2" fontId="14" fillId="0" borderId="35" xfId="0" applyNumberFormat="1" applyFont="1" applyFill="1" applyBorder="1" applyAlignment="1">
      <alignment horizontal="center" vertical="center" wrapText="1"/>
    </xf>
    <xf numFmtId="2" fontId="14" fillId="0" borderId="4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 vertical="center" wrapText="1"/>
    </xf>
    <xf numFmtId="2" fontId="14" fillId="0" borderId="2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top" wrapText="1"/>
    </xf>
    <xf numFmtId="2" fontId="10" fillId="0" borderId="12" xfId="0" applyNumberFormat="1" applyFont="1" applyFill="1" applyBorder="1" applyAlignment="1">
      <alignment horizontal="center" vertical="center" wrapText="1"/>
    </xf>
    <xf numFmtId="2" fontId="10" fillId="0" borderId="25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top"/>
    </xf>
    <xf numFmtId="0" fontId="10" fillId="0" borderId="28" xfId="0" applyFont="1" applyFill="1" applyBorder="1" applyAlignment="1">
      <alignment vertical="top" wrapText="1"/>
    </xf>
    <xf numFmtId="0" fontId="14" fillId="0" borderId="31" xfId="0" applyFont="1" applyFill="1" applyBorder="1" applyAlignment="1">
      <alignment horizontal="center" vertical="center" wrapText="1"/>
    </xf>
    <xf numFmtId="2" fontId="14" fillId="0" borderId="31" xfId="0" applyNumberFormat="1" applyFont="1" applyFill="1" applyBorder="1" applyAlignment="1">
      <alignment horizontal="center" vertical="center" wrapText="1"/>
    </xf>
    <xf numFmtId="2" fontId="14" fillId="0" borderId="3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2" fontId="1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5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6" xfId="0" applyFont="1" applyBorder="1"/>
    <xf numFmtId="2" fontId="10" fillId="0" borderId="55" xfId="0" applyNumberFormat="1" applyFont="1" applyBorder="1" applyAlignment="1">
      <alignment horizontal="center" vertical="center"/>
    </xf>
    <xf numFmtId="0" fontId="10" fillId="0" borderId="52" xfId="0" applyFont="1" applyBorder="1" applyAlignment="1">
      <alignment horizontal="center"/>
    </xf>
    <xf numFmtId="0" fontId="10" fillId="0" borderId="11" xfId="0" applyFont="1" applyBorder="1"/>
    <xf numFmtId="2" fontId="10" fillId="0" borderId="39" xfId="0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1" xfId="0" applyFont="1" applyBorder="1" applyAlignment="1">
      <alignment wrapText="1"/>
    </xf>
    <xf numFmtId="0" fontId="10" fillId="0" borderId="11" xfId="1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54" xfId="0" applyFont="1" applyBorder="1" applyAlignment="1">
      <alignment horizontal="right" vertical="top" wrapText="1"/>
    </xf>
    <xf numFmtId="0" fontId="10" fillId="0" borderId="31" xfId="0" applyFont="1" applyBorder="1" applyAlignment="1">
      <alignment horizontal="right" vertical="top" wrapText="1"/>
    </xf>
    <xf numFmtId="0" fontId="14" fillId="0" borderId="31" xfId="0" applyFont="1" applyBorder="1" applyAlignment="1">
      <alignment horizontal="right" vertical="top" wrapText="1"/>
    </xf>
    <xf numFmtId="2" fontId="10" fillId="0" borderId="31" xfId="0" applyNumberFormat="1" applyFont="1" applyBorder="1" applyAlignment="1">
      <alignment horizontal="center" vertical="center"/>
    </xf>
    <xf numFmtId="2" fontId="10" fillId="0" borderId="32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top" wrapText="1"/>
    </xf>
    <xf numFmtId="0" fontId="10" fillId="0" borderId="20" xfId="0" applyFont="1" applyBorder="1" applyAlignment="1">
      <alignment horizontal="right" vertical="top" wrapText="1"/>
    </xf>
    <xf numFmtId="0" fontId="14" fillId="0" borderId="20" xfId="0" applyFont="1" applyBorder="1" applyAlignment="1">
      <alignment horizontal="right" vertical="top" wrapText="1"/>
    </xf>
    <xf numFmtId="2" fontId="10" fillId="0" borderId="21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right" vertical="top" wrapText="1"/>
    </xf>
    <xf numFmtId="0" fontId="17" fillId="0" borderId="5" xfId="0" applyFont="1" applyBorder="1" applyAlignment="1">
      <alignment horizontal="right" vertical="top" wrapText="1"/>
    </xf>
    <xf numFmtId="2" fontId="10" fillId="0" borderId="2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top" wrapText="1"/>
    </xf>
    <xf numFmtId="2" fontId="10" fillId="0" borderId="2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right" vertical="top" wrapText="1"/>
    </xf>
    <xf numFmtId="0" fontId="10" fillId="0" borderId="28" xfId="0" applyFont="1" applyBorder="1" applyAlignment="1">
      <alignment horizontal="right" vertical="top" wrapText="1"/>
    </xf>
    <xf numFmtId="0" fontId="14" fillId="0" borderId="28" xfId="0" applyFont="1" applyBorder="1" applyAlignment="1">
      <alignment horizontal="right" vertical="top" wrapText="1"/>
    </xf>
    <xf numFmtId="2" fontId="10" fillId="0" borderId="33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top"/>
    </xf>
    <xf numFmtId="0" fontId="18" fillId="0" borderId="0" xfId="0" applyFont="1" applyAlignment="1">
      <alignment horizontal="right"/>
    </xf>
    <xf numFmtId="2" fontId="10" fillId="0" borderId="26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right"/>
    </xf>
    <xf numFmtId="2" fontId="10" fillId="0" borderId="25" xfId="0" applyNumberFormat="1" applyFont="1" applyBorder="1" applyAlignment="1">
      <alignment horizontal="center" vertical="top" wrapText="1"/>
    </xf>
    <xf numFmtId="0" fontId="19" fillId="0" borderId="31" xfId="0" applyFont="1" applyBorder="1" applyAlignment="1">
      <alignment horizontal="right" vertical="top" wrapText="1"/>
    </xf>
    <xf numFmtId="2" fontId="10" fillId="0" borderId="32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/>
    </xf>
    <xf numFmtId="0" fontId="9" fillId="0" borderId="2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10" fillId="0" borderId="24" xfId="0" applyFont="1" applyBorder="1" applyAlignment="1">
      <alignment horizontal="right"/>
    </xf>
    <xf numFmtId="2" fontId="10" fillId="0" borderId="34" xfId="0" applyNumberFormat="1" applyFont="1" applyBorder="1" applyAlignment="1">
      <alignment horizontal="center"/>
    </xf>
    <xf numFmtId="0" fontId="10" fillId="0" borderId="22" xfId="0" applyFont="1" applyBorder="1" applyAlignment="1">
      <alignment horizontal="right"/>
    </xf>
    <xf numFmtId="0" fontId="10" fillId="0" borderId="1" xfId="0" applyFont="1" applyBorder="1" applyAlignment="1">
      <alignment horizontal="justify" vertical="top" wrapText="1"/>
    </xf>
    <xf numFmtId="2" fontId="10" fillId="0" borderId="25" xfId="0" applyNumberFormat="1" applyFont="1" applyBorder="1" applyAlignment="1">
      <alignment horizontal="center"/>
    </xf>
    <xf numFmtId="0" fontId="10" fillId="0" borderId="13" xfId="0" applyFont="1" applyBorder="1" applyAlignment="1">
      <alignment horizontal="justify" vertical="top" wrapText="1"/>
    </xf>
    <xf numFmtId="0" fontId="10" fillId="0" borderId="27" xfId="0" applyFont="1" applyBorder="1" applyAlignment="1">
      <alignment horizontal="right"/>
    </xf>
    <xf numFmtId="0" fontId="10" fillId="0" borderId="59" xfId="0" applyFont="1" applyBorder="1" applyAlignment="1">
      <alignment horizontal="right" vertical="top" wrapText="1"/>
    </xf>
    <xf numFmtId="2" fontId="14" fillId="0" borderId="33" xfId="0" applyNumberFormat="1" applyFont="1" applyBorder="1" applyAlignment="1">
      <alignment horizontal="center"/>
    </xf>
    <xf numFmtId="0" fontId="14" fillId="0" borderId="0" xfId="0" applyFont="1"/>
    <xf numFmtId="49" fontId="20" fillId="0" borderId="11" xfId="0" applyNumberFormat="1" applyFont="1" applyBorder="1" applyAlignment="1">
      <alignment horizontal="center" vertical="center"/>
    </xf>
    <xf numFmtId="2" fontId="20" fillId="0" borderId="39" xfId="0" applyNumberFormat="1" applyFont="1" applyBorder="1" applyAlignment="1">
      <alignment horizontal="center" vertical="center"/>
    </xf>
    <xf numFmtId="2" fontId="20" fillId="2" borderId="39" xfId="0" applyNumberFormat="1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/>
    </xf>
    <xf numFmtId="0" fontId="20" fillId="0" borderId="31" xfId="0" applyFont="1" applyBorder="1" applyAlignment="1">
      <alignment horizontal="left" vertical="center" wrapText="1"/>
    </xf>
    <xf numFmtId="49" fontId="20" fillId="0" borderId="31" xfId="0" applyNumberFormat="1" applyFont="1" applyBorder="1" applyAlignment="1">
      <alignment horizontal="center" vertical="center"/>
    </xf>
    <xf numFmtId="2" fontId="20" fillId="0" borderId="32" xfId="0" applyNumberFormat="1" applyFont="1" applyBorder="1" applyAlignment="1">
      <alignment horizontal="center" vertical="center"/>
    </xf>
    <xf numFmtId="0" fontId="9" fillId="0" borderId="0" xfId="0" applyFont="1"/>
    <xf numFmtId="0" fontId="14" fillId="3" borderId="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center" vertical="center" wrapText="1"/>
    </xf>
    <xf numFmtId="2" fontId="10" fillId="2" borderId="11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 wrapText="1"/>
    </xf>
    <xf numFmtId="4" fontId="10" fillId="0" borderId="25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right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2" fontId="8" fillId="0" borderId="39" xfId="0" applyNumberFormat="1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58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/>
    </xf>
    <xf numFmtId="0" fontId="20" fillId="0" borderId="11" xfId="0" applyFont="1" applyBorder="1" applyAlignment="1">
      <alignment horizontal="left" vertical="center" wrapText="1"/>
    </xf>
    <xf numFmtId="0" fontId="11" fillId="4" borderId="60" xfId="0" applyFont="1" applyFill="1" applyBorder="1" applyAlignment="1">
      <alignment horizontal="center" wrapText="1"/>
    </xf>
    <xf numFmtId="0" fontId="11" fillId="4" borderId="61" xfId="0" applyFont="1" applyFill="1" applyBorder="1" applyAlignment="1">
      <alignment horizontal="center" wrapText="1"/>
    </xf>
    <xf numFmtId="0" fontId="11" fillId="4" borderId="62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0" fontId="20" fillId="0" borderId="50" xfId="0" applyFont="1" applyBorder="1" applyAlignment="1">
      <alignment horizontal="center"/>
    </xf>
    <xf numFmtId="0" fontId="20" fillId="0" borderId="44" xfId="0" applyFont="1" applyBorder="1" applyAlignment="1">
      <alignment horizontal="left" vertical="center" wrapText="1"/>
    </xf>
    <xf numFmtId="49" fontId="20" fillId="0" borderId="44" xfId="0" applyNumberFormat="1" applyFont="1" applyBorder="1" applyAlignment="1">
      <alignment horizontal="center" vertical="center"/>
    </xf>
    <xf numFmtId="2" fontId="20" fillId="0" borderId="51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 vertical="center" wrapText="1"/>
    </xf>
    <xf numFmtId="2" fontId="10" fillId="0" borderId="68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55" xfId="0" applyNumberFormat="1" applyFont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0" fillId="0" borderId="9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  <xf numFmtId="0" fontId="14" fillId="0" borderId="29" xfId="0" applyFont="1" applyBorder="1" applyAlignment="1">
      <alignment horizontal="right" vertical="top" wrapText="1"/>
    </xf>
    <xf numFmtId="0" fontId="14" fillId="0" borderId="30" xfId="0" applyFont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14" fillId="0" borderId="3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center"/>
    </xf>
    <xf numFmtId="0" fontId="14" fillId="3" borderId="2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3" borderId="19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11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4" borderId="18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right" vertical="top" wrapText="1"/>
    </xf>
    <xf numFmtId="0" fontId="10" fillId="0" borderId="9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>
      <alignment horizontal="right" vertical="top" wrapText="1"/>
    </xf>
    <xf numFmtId="0" fontId="14" fillId="0" borderId="29" xfId="0" applyFont="1" applyFill="1" applyBorder="1" applyAlignment="1">
      <alignment horizontal="right" vertical="top" wrapText="1"/>
    </xf>
    <xf numFmtId="0" fontId="14" fillId="0" borderId="30" xfId="0" applyFont="1" applyFill="1" applyBorder="1" applyAlignment="1">
      <alignment horizontal="right" vertical="top" wrapText="1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1" fillId="4" borderId="50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4" borderId="5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/>
    </xf>
    <xf numFmtId="0" fontId="11" fillId="4" borderId="28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/>
    </xf>
    <xf numFmtId="0" fontId="20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0" fontId="11" fillId="4" borderId="69" xfId="0" applyFont="1" applyFill="1" applyBorder="1" applyAlignment="1">
      <alignment horizontal="center" vertical="center"/>
    </xf>
    <xf numFmtId="0" fontId="11" fillId="4" borderId="69" xfId="0" applyFont="1" applyFill="1" applyBorder="1" applyAlignment="1">
      <alignment horizontal="center" vertical="center" wrapText="1"/>
    </xf>
    <xf numFmtId="0" fontId="11" fillId="4" borderId="70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2" fontId="10" fillId="0" borderId="11" xfId="0" applyNumberFormat="1" applyFont="1" applyBorder="1" applyAlignment="1">
      <alignment vertical="center" wrapText="1"/>
    </xf>
    <xf numFmtId="2" fontId="10" fillId="0" borderId="39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0" fillId="0" borderId="71" xfId="0" applyFont="1" applyBorder="1" applyAlignment="1">
      <alignment horizontal="right" vertical="center" wrapText="1"/>
    </xf>
    <xf numFmtId="0" fontId="10" fillId="0" borderId="34" xfId="0" applyFont="1" applyBorder="1" applyAlignment="1">
      <alignment vertical="center" wrapText="1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 wrapText="1"/>
    </xf>
    <xf numFmtId="0" fontId="14" fillId="0" borderId="42" xfId="0" applyFont="1" applyBorder="1" applyAlignment="1">
      <alignment horizontal="right" vertical="center" wrapText="1"/>
    </xf>
    <xf numFmtId="0" fontId="14" fillId="0" borderId="59" xfId="0" applyFont="1" applyBorder="1" applyAlignment="1">
      <alignment horizontal="right" vertical="center" wrapText="1"/>
    </xf>
    <xf numFmtId="0" fontId="14" fillId="0" borderId="72" xfId="0" applyFont="1" applyBorder="1" applyAlignment="1">
      <alignment horizontal="right" vertical="center" wrapText="1"/>
    </xf>
    <xf numFmtId="0" fontId="14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2" fontId="10" fillId="0" borderId="43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73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2" fontId="10" fillId="0" borderId="47" xfId="0" applyNumberFormat="1" applyFont="1" applyBorder="1" applyAlignment="1">
      <alignment horizontal="center" vertical="center"/>
    </xf>
  </cellXfs>
  <cellStyles count="3">
    <cellStyle name="Normal" xfId="0" builtinId="0"/>
    <cellStyle name="Normal_Kazino kazino tauers klub" xfId="2"/>
    <cellStyle name="Normal_Kazino kazino tauers klub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3"/>
  <sheetViews>
    <sheetView tabSelected="1" topLeftCell="A7" workbookViewId="0">
      <selection activeCell="F9" sqref="F9"/>
    </sheetView>
  </sheetViews>
  <sheetFormatPr defaultRowHeight="15" x14ac:dyDescent="0.25"/>
  <cols>
    <col min="3" max="3" width="38.85546875" customWidth="1"/>
    <col min="14" max="14" width="10.85546875" customWidth="1"/>
    <col min="17" max="17" width="9.140625" customWidth="1"/>
  </cols>
  <sheetData>
    <row r="1" spans="1:16" ht="15.75" x14ac:dyDescent="0.25">
      <c r="A1" s="417" t="s">
        <v>23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6" ht="15.75" x14ac:dyDescent="0.25">
      <c r="A2" s="417" t="s">
        <v>24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ht="15.75" x14ac:dyDescent="0.25">
      <c r="A3" s="423" t="s">
        <v>0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</row>
    <row r="4" spans="1:16" ht="15.75" x14ac:dyDescent="0.25">
      <c r="A4" s="12" t="s">
        <v>328</v>
      </c>
      <c r="B4" s="13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</row>
    <row r="5" spans="1:16" ht="15.75" x14ac:dyDescent="0.25">
      <c r="A5" s="12" t="s">
        <v>329</v>
      </c>
      <c r="B5" s="13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</row>
    <row r="6" spans="1:16" ht="15.75" x14ac:dyDescent="0.25">
      <c r="A6" s="12" t="s">
        <v>346</v>
      </c>
      <c r="B6" s="13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</row>
    <row r="7" spans="1:16" ht="15.75" x14ac:dyDescent="0.25">
      <c r="A7" s="12" t="s">
        <v>1</v>
      </c>
      <c r="B7" s="13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2"/>
    </row>
    <row r="8" spans="1:16" ht="15.75" x14ac:dyDescent="0.25">
      <c r="A8" s="12"/>
      <c r="B8" s="13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</row>
    <row r="9" spans="1:16" x14ac:dyDescent="0.25">
      <c r="A9" s="15" t="s">
        <v>345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428">
        <f>P26</f>
        <v>4033.4910999999993</v>
      </c>
      <c r="O9" s="428"/>
      <c r="P9" s="14"/>
    </row>
    <row r="10" spans="1:16" ht="15.75" thickBot="1" x14ac:dyDescent="0.3">
      <c r="A10" s="19" t="s">
        <v>378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426" t="s">
        <v>71</v>
      </c>
      <c r="B11" s="424" t="s">
        <v>3</v>
      </c>
      <c r="C11" s="421" t="s">
        <v>62</v>
      </c>
      <c r="D11" s="418" t="s">
        <v>4</v>
      </c>
      <c r="E11" s="418" t="s">
        <v>5</v>
      </c>
      <c r="F11" s="418" t="s">
        <v>6</v>
      </c>
      <c r="G11" s="418"/>
      <c r="H11" s="418"/>
      <c r="I11" s="418"/>
      <c r="J11" s="418"/>
      <c r="K11" s="418"/>
      <c r="L11" s="418" t="s">
        <v>7</v>
      </c>
      <c r="M11" s="418"/>
      <c r="N11" s="418"/>
      <c r="O11" s="418"/>
      <c r="P11" s="420"/>
    </row>
    <row r="12" spans="1:16" ht="51" x14ac:dyDescent="0.25">
      <c r="A12" s="427"/>
      <c r="B12" s="425"/>
      <c r="C12" s="422"/>
      <c r="D12" s="419"/>
      <c r="E12" s="419"/>
      <c r="F12" s="353" t="s">
        <v>8</v>
      </c>
      <c r="G12" s="353" t="s">
        <v>197</v>
      </c>
      <c r="H12" s="353" t="s">
        <v>198</v>
      </c>
      <c r="I12" s="353" t="s">
        <v>199</v>
      </c>
      <c r="J12" s="353" t="s">
        <v>200</v>
      </c>
      <c r="K12" s="353" t="s">
        <v>201</v>
      </c>
      <c r="L12" s="353" t="s">
        <v>9</v>
      </c>
      <c r="M12" s="353" t="s">
        <v>198</v>
      </c>
      <c r="N12" s="353" t="s">
        <v>199</v>
      </c>
      <c r="O12" s="353" t="s">
        <v>200</v>
      </c>
      <c r="P12" s="354" t="s">
        <v>202</v>
      </c>
    </row>
    <row r="13" spans="1:16" ht="15.75" thickBot="1" x14ac:dyDescent="0.3">
      <c r="A13" s="355">
        <v>1</v>
      </c>
      <c r="B13" s="356">
        <v>2</v>
      </c>
      <c r="C13" s="356">
        <v>3</v>
      </c>
      <c r="D13" s="356">
        <v>4</v>
      </c>
      <c r="E13" s="356">
        <v>5</v>
      </c>
      <c r="F13" s="356">
        <v>6</v>
      </c>
      <c r="G13" s="356">
        <v>7</v>
      </c>
      <c r="H13" s="356">
        <v>8</v>
      </c>
      <c r="I13" s="356">
        <v>9</v>
      </c>
      <c r="J13" s="356">
        <v>10</v>
      </c>
      <c r="K13" s="356">
        <v>11</v>
      </c>
      <c r="L13" s="356">
        <v>12</v>
      </c>
      <c r="M13" s="356">
        <v>13</v>
      </c>
      <c r="N13" s="356">
        <v>14</v>
      </c>
      <c r="O13" s="356">
        <v>15</v>
      </c>
      <c r="P13" s="357">
        <v>16</v>
      </c>
    </row>
    <row r="14" spans="1:16" x14ac:dyDescent="0.25">
      <c r="A14" s="85">
        <v>1</v>
      </c>
      <c r="B14" s="86"/>
      <c r="C14" s="358" t="s">
        <v>206</v>
      </c>
      <c r="D14" s="86" t="s">
        <v>64</v>
      </c>
      <c r="E14" s="87">
        <v>6.39</v>
      </c>
      <c r="F14" s="59"/>
      <c r="G14" s="59"/>
      <c r="H14" s="60"/>
      <c r="I14" s="58">
        <v>80</v>
      </c>
      <c r="J14" s="60"/>
      <c r="K14" s="59">
        <f>SUM(H14:J14)</f>
        <v>80</v>
      </c>
      <c r="L14" s="61"/>
      <c r="M14" s="359"/>
      <c r="N14" s="88">
        <f t="shared" ref="N14" si="0">E14*I14</f>
        <v>511.2</v>
      </c>
      <c r="O14" s="88"/>
      <c r="P14" s="89">
        <f t="shared" ref="P14" si="1">SUM(M14:O14)</f>
        <v>511.2</v>
      </c>
    </row>
    <row r="15" spans="1:16" ht="26.25" x14ac:dyDescent="0.25">
      <c r="A15" s="85" t="s">
        <v>11</v>
      </c>
      <c r="B15" s="86"/>
      <c r="C15" s="358" t="s">
        <v>194</v>
      </c>
      <c r="D15" s="86" t="s">
        <v>64</v>
      </c>
      <c r="E15" s="87">
        <v>6.39</v>
      </c>
      <c r="F15" s="360"/>
      <c r="G15" s="360"/>
      <c r="H15" s="58"/>
      <c r="I15" s="58">
        <v>345</v>
      </c>
      <c r="J15" s="60"/>
      <c r="K15" s="59">
        <f>SUM(H15:J15)</f>
        <v>345</v>
      </c>
      <c r="L15" s="61"/>
      <c r="M15" s="359"/>
      <c r="N15" s="88">
        <f t="shared" ref="N15:N16" si="2">E15*I15</f>
        <v>2204.5499999999997</v>
      </c>
      <c r="O15" s="88"/>
      <c r="P15" s="89">
        <f t="shared" ref="P15:P18" si="3">SUM(M15:O15)</f>
        <v>2204.5499999999997</v>
      </c>
    </row>
    <row r="16" spans="1:16" ht="26.25" x14ac:dyDescent="0.25">
      <c r="A16" s="85" t="s">
        <v>32</v>
      </c>
      <c r="B16" s="86"/>
      <c r="C16" s="358" t="s">
        <v>193</v>
      </c>
      <c r="D16" s="86" t="s">
        <v>64</v>
      </c>
      <c r="E16" s="90">
        <v>6.39</v>
      </c>
      <c r="F16" s="360"/>
      <c r="G16" s="360"/>
      <c r="H16" s="58"/>
      <c r="I16" s="58">
        <v>65</v>
      </c>
      <c r="J16" s="60"/>
      <c r="K16" s="59">
        <f t="shared" ref="K16:K18" si="4">SUM(H16:J16)</f>
        <v>65</v>
      </c>
      <c r="L16" s="61"/>
      <c r="M16" s="359"/>
      <c r="N16" s="88">
        <f t="shared" si="2"/>
        <v>415.34999999999997</v>
      </c>
      <c r="O16" s="91"/>
      <c r="P16" s="92">
        <f t="shared" si="3"/>
        <v>415.34999999999997</v>
      </c>
    </row>
    <row r="17" spans="1:16" ht="26.25" x14ac:dyDescent="0.25">
      <c r="A17" s="85" t="s">
        <v>12</v>
      </c>
      <c r="B17" s="86"/>
      <c r="C17" s="358" t="s">
        <v>192</v>
      </c>
      <c r="D17" s="86" t="s">
        <v>64</v>
      </c>
      <c r="E17" s="361">
        <v>6.39</v>
      </c>
      <c r="F17" s="360"/>
      <c r="G17" s="360"/>
      <c r="H17" s="58"/>
      <c r="I17" s="58">
        <v>80</v>
      </c>
      <c r="J17" s="60"/>
      <c r="K17" s="59">
        <f t="shared" si="4"/>
        <v>80</v>
      </c>
      <c r="L17" s="61"/>
      <c r="M17" s="359"/>
      <c r="N17" s="88">
        <f>E17*I17</f>
        <v>511.2</v>
      </c>
      <c r="O17" s="88"/>
      <c r="P17" s="362">
        <f t="shared" si="3"/>
        <v>511.2</v>
      </c>
    </row>
    <row r="18" spans="1:16" ht="26.25" x14ac:dyDescent="0.25">
      <c r="A18" s="85" t="s">
        <v>33</v>
      </c>
      <c r="B18" s="86" t="s">
        <v>160</v>
      </c>
      <c r="C18" s="358" t="s">
        <v>25</v>
      </c>
      <c r="D18" s="86" t="s">
        <v>63</v>
      </c>
      <c r="E18" s="361">
        <v>1</v>
      </c>
      <c r="F18" s="360">
        <v>1.7</v>
      </c>
      <c r="G18" s="360">
        <v>5.5</v>
      </c>
      <c r="H18" s="58">
        <f t="shared" ref="H18:H21" si="5">G18*F18</f>
        <v>9.35</v>
      </c>
      <c r="I18" s="58">
        <v>12</v>
      </c>
      <c r="J18" s="60"/>
      <c r="K18" s="59">
        <f t="shared" si="4"/>
        <v>21.35</v>
      </c>
      <c r="L18" s="61">
        <f t="shared" ref="L18" si="6">E18*F18</f>
        <v>1.7</v>
      </c>
      <c r="M18" s="359">
        <f t="shared" ref="M18" si="7">E18*H18</f>
        <v>9.35</v>
      </c>
      <c r="N18" s="88">
        <f t="shared" ref="N18" si="8">E18*I18</f>
        <v>12</v>
      </c>
      <c r="O18" s="88"/>
      <c r="P18" s="363">
        <f t="shared" si="3"/>
        <v>21.35</v>
      </c>
    </row>
    <row r="19" spans="1:16" x14ac:dyDescent="0.25">
      <c r="A19" s="85" t="s">
        <v>13</v>
      </c>
      <c r="B19" s="86" t="s">
        <v>161</v>
      </c>
      <c r="C19" s="358" t="s">
        <v>26</v>
      </c>
      <c r="D19" s="86" t="s">
        <v>63</v>
      </c>
      <c r="E19" s="361">
        <v>1</v>
      </c>
      <c r="F19" s="360">
        <v>3.8</v>
      </c>
      <c r="G19" s="360">
        <v>5.5</v>
      </c>
      <c r="H19" s="58">
        <f t="shared" si="5"/>
        <v>20.9</v>
      </c>
      <c r="I19" s="58">
        <v>40.299999999999997</v>
      </c>
      <c r="J19" s="60"/>
      <c r="K19" s="59">
        <f t="shared" ref="K19:K23" si="9">SUM(H19:J19)</f>
        <v>61.199999999999996</v>
      </c>
      <c r="L19" s="61">
        <f t="shared" ref="L19:L21" si="10">E19*F19</f>
        <v>3.8</v>
      </c>
      <c r="M19" s="359">
        <f t="shared" ref="M19:M21" si="11">E19*H19</f>
        <v>20.9</v>
      </c>
      <c r="N19" s="88">
        <f t="shared" ref="N19:N23" si="12">E19*I19</f>
        <v>40.299999999999997</v>
      </c>
      <c r="O19" s="88"/>
      <c r="P19" s="363">
        <f t="shared" ref="P19:P23" si="13">SUM(M19:O19)</f>
        <v>61.199999999999996</v>
      </c>
    </row>
    <row r="20" spans="1:16" ht="26.25" x14ac:dyDescent="0.25">
      <c r="A20" s="85" t="s">
        <v>14</v>
      </c>
      <c r="B20" s="86"/>
      <c r="C20" s="358" t="s">
        <v>27</v>
      </c>
      <c r="D20" s="86" t="s">
        <v>65</v>
      </c>
      <c r="E20" s="93">
        <v>1</v>
      </c>
      <c r="F20" s="360">
        <v>0.5</v>
      </c>
      <c r="G20" s="360">
        <v>5.5</v>
      </c>
      <c r="H20" s="58">
        <f t="shared" si="5"/>
        <v>2.75</v>
      </c>
      <c r="I20" s="58"/>
      <c r="J20" s="60"/>
      <c r="K20" s="364">
        <f t="shared" si="9"/>
        <v>2.75</v>
      </c>
      <c r="L20" s="365">
        <f t="shared" si="10"/>
        <v>0.5</v>
      </c>
      <c r="M20" s="88">
        <f t="shared" si="11"/>
        <v>2.75</v>
      </c>
      <c r="N20" s="88"/>
      <c r="O20" s="88"/>
      <c r="P20" s="363">
        <f t="shared" si="13"/>
        <v>2.75</v>
      </c>
    </row>
    <row r="21" spans="1:16" x14ac:dyDescent="0.25">
      <c r="A21" s="85" t="s">
        <v>15</v>
      </c>
      <c r="B21" s="86" t="s">
        <v>159</v>
      </c>
      <c r="C21" s="358" t="s">
        <v>28</v>
      </c>
      <c r="D21" s="86" t="s">
        <v>66</v>
      </c>
      <c r="E21" s="93">
        <v>4</v>
      </c>
      <c r="F21" s="360">
        <v>1.9</v>
      </c>
      <c r="G21" s="360">
        <v>5.5</v>
      </c>
      <c r="H21" s="60">
        <f t="shared" si="5"/>
        <v>10.45</v>
      </c>
      <c r="I21" s="60"/>
      <c r="J21" s="60"/>
      <c r="K21" s="94">
        <f t="shared" si="9"/>
        <v>10.45</v>
      </c>
      <c r="L21" s="95">
        <f t="shared" si="10"/>
        <v>7.6</v>
      </c>
      <c r="M21" s="88">
        <f t="shared" si="11"/>
        <v>41.8</v>
      </c>
      <c r="N21" s="88"/>
      <c r="O21" s="88"/>
      <c r="P21" s="363">
        <f t="shared" si="13"/>
        <v>41.8</v>
      </c>
    </row>
    <row r="22" spans="1:16" x14ac:dyDescent="0.25">
      <c r="A22" s="96"/>
      <c r="B22" s="86"/>
      <c r="C22" s="97" t="s">
        <v>60</v>
      </c>
      <c r="D22" s="98" t="s">
        <v>332</v>
      </c>
      <c r="E22" s="93">
        <v>14</v>
      </c>
      <c r="F22" s="59"/>
      <c r="G22" s="59"/>
      <c r="H22" s="60"/>
      <c r="I22" s="58">
        <v>4.6500000000000004</v>
      </c>
      <c r="J22" s="60"/>
      <c r="K22" s="94">
        <f t="shared" si="9"/>
        <v>4.6500000000000004</v>
      </c>
      <c r="L22" s="95"/>
      <c r="M22" s="88"/>
      <c r="N22" s="88">
        <f t="shared" si="12"/>
        <v>65.100000000000009</v>
      </c>
      <c r="O22" s="88"/>
      <c r="P22" s="363">
        <f t="shared" si="13"/>
        <v>65.100000000000009</v>
      </c>
    </row>
    <row r="23" spans="1:16" x14ac:dyDescent="0.25">
      <c r="A23" s="96"/>
      <c r="B23" s="86"/>
      <c r="C23" s="99" t="s">
        <v>186</v>
      </c>
      <c r="D23" s="98" t="s">
        <v>331</v>
      </c>
      <c r="E23" s="100">
        <v>7.4999999999999997E-2</v>
      </c>
      <c r="F23" s="59"/>
      <c r="G23" s="59"/>
      <c r="H23" s="60"/>
      <c r="I23" s="58">
        <v>139.76</v>
      </c>
      <c r="J23" s="60"/>
      <c r="K23" s="94">
        <f t="shared" si="9"/>
        <v>139.76</v>
      </c>
      <c r="L23" s="101"/>
      <c r="M23" s="102"/>
      <c r="N23" s="88">
        <f t="shared" si="12"/>
        <v>10.481999999999999</v>
      </c>
      <c r="O23" s="88"/>
      <c r="P23" s="363">
        <f t="shared" si="13"/>
        <v>10.481999999999999</v>
      </c>
    </row>
    <row r="24" spans="1:16" x14ac:dyDescent="0.25">
      <c r="A24" s="65" t="s">
        <v>16</v>
      </c>
      <c r="B24" s="366" t="s">
        <v>16</v>
      </c>
      <c r="C24" s="416" t="s">
        <v>17</v>
      </c>
      <c r="D24" s="416"/>
      <c r="E24" s="103" t="s">
        <v>16</v>
      </c>
      <c r="F24" s="104" t="s">
        <v>16</v>
      </c>
      <c r="G24" s="104" t="s">
        <v>16</v>
      </c>
      <c r="H24" s="104" t="s">
        <v>16</v>
      </c>
      <c r="I24" s="104" t="s">
        <v>16</v>
      </c>
      <c r="J24" s="104" t="s">
        <v>16</v>
      </c>
      <c r="K24" s="103" t="s">
        <v>16</v>
      </c>
      <c r="L24" s="105">
        <f>SUM(L14:L23)</f>
        <v>13.6</v>
      </c>
      <c r="M24" s="105">
        <f>SUM(M14:M23)</f>
        <v>74.8</v>
      </c>
      <c r="N24" s="105">
        <f>SUM(N14:N23)</f>
        <v>3770.1819999999993</v>
      </c>
      <c r="O24" s="106">
        <f>SUM(O14:O23)</f>
        <v>0</v>
      </c>
      <c r="P24" s="107">
        <f>SUM(P14:P23)</f>
        <v>3844.9819999999991</v>
      </c>
    </row>
    <row r="25" spans="1:16" x14ac:dyDescent="0.25">
      <c r="A25" s="65" t="s">
        <v>16</v>
      </c>
      <c r="B25" s="56" t="s">
        <v>16</v>
      </c>
      <c r="C25" s="411" t="s">
        <v>18</v>
      </c>
      <c r="D25" s="412"/>
      <c r="E25" s="412"/>
      <c r="F25" s="412"/>
      <c r="G25" s="412"/>
      <c r="H25" s="412"/>
      <c r="I25" s="412"/>
      <c r="J25" s="412"/>
      <c r="K25" s="412"/>
      <c r="L25" s="108"/>
      <c r="M25" s="109"/>
      <c r="N25" s="109">
        <f>N24*0.05</f>
        <v>188.50909999999999</v>
      </c>
      <c r="O25" s="110"/>
      <c r="P25" s="111">
        <f>N25</f>
        <v>188.50909999999999</v>
      </c>
    </row>
    <row r="26" spans="1:16" ht="15.75" thickBot="1" x14ac:dyDescent="0.3">
      <c r="A26" s="69" t="s">
        <v>16</v>
      </c>
      <c r="B26" s="70" t="s">
        <v>16</v>
      </c>
      <c r="C26" s="413" t="s">
        <v>19</v>
      </c>
      <c r="D26" s="414"/>
      <c r="E26" s="414"/>
      <c r="F26" s="414"/>
      <c r="G26" s="414"/>
      <c r="H26" s="414"/>
      <c r="I26" s="414"/>
      <c r="J26" s="414"/>
      <c r="K26" s="414"/>
      <c r="L26" s="112"/>
      <c r="M26" s="113">
        <f>M24+M25</f>
        <v>74.8</v>
      </c>
      <c r="N26" s="113">
        <f>N24+N25</f>
        <v>3958.6910999999991</v>
      </c>
      <c r="O26" s="113">
        <f>O24+O25</f>
        <v>0</v>
      </c>
      <c r="P26" s="114">
        <f>P24+P25</f>
        <v>4033.4910999999993</v>
      </c>
    </row>
    <row r="27" spans="1:16" x14ac:dyDescent="0.25">
      <c r="A27" s="19" t="s">
        <v>16</v>
      </c>
      <c r="B27" s="74" t="s">
        <v>16</v>
      </c>
      <c r="C27" s="74" t="s">
        <v>16</v>
      </c>
      <c r="D27" s="415" t="s">
        <v>16</v>
      </c>
      <c r="E27" s="415"/>
      <c r="F27" s="415" t="s">
        <v>16</v>
      </c>
      <c r="G27" s="415"/>
      <c r="H27" s="415"/>
      <c r="I27" s="415" t="s">
        <v>16</v>
      </c>
      <c r="J27" s="415"/>
      <c r="K27" s="74" t="s">
        <v>16</v>
      </c>
      <c r="L27" s="74" t="s">
        <v>16</v>
      </c>
      <c r="M27" s="74" t="s">
        <v>16</v>
      </c>
      <c r="N27" s="75"/>
      <c r="O27" s="14"/>
      <c r="P27" s="14" t="s">
        <v>16</v>
      </c>
    </row>
    <row r="28" spans="1:16" x14ac:dyDescent="0.25">
      <c r="A28" s="19" t="s">
        <v>20</v>
      </c>
      <c r="B28" s="76"/>
      <c r="C28" s="77"/>
      <c r="D28" s="14"/>
      <c r="E28" s="14"/>
      <c r="F28" s="14"/>
      <c r="G28" s="19" t="s">
        <v>21</v>
      </c>
      <c r="H28" s="78"/>
      <c r="I28" s="77"/>
      <c r="J28" s="77"/>
      <c r="K28" s="76"/>
      <c r="L28" s="76"/>
      <c r="M28" s="76"/>
      <c r="N28" s="76"/>
      <c r="O28" s="76"/>
      <c r="P28" s="14"/>
    </row>
    <row r="29" spans="1:16" x14ac:dyDescent="0.25">
      <c r="A29" s="79"/>
      <c r="B29" s="80"/>
      <c r="C29" s="81" t="s">
        <v>22</v>
      </c>
      <c r="D29" s="14"/>
      <c r="E29" s="14"/>
      <c r="F29" s="14"/>
      <c r="G29" s="80"/>
      <c r="H29" s="80"/>
      <c r="I29" s="81" t="s">
        <v>22</v>
      </c>
      <c r="J29" s="80"/>
      <c r="K29" s="80"/>
      <c r="L29" s="80"/>
      <c r="M29" s="80"/>
      <c r="N29" s="80"/>
      <c r="O29" s="14"/>
      <c r="P29" s="14"/>
    </row>
    <row r="33" spans="1:16" ht="15.75" x14ac:dyDescent="0.25">
      <c r="A33" s="410"/>
      <c r="B33" s="410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</row>
  </sheetData>
  <mergeCells count="18">
    <mergeCell ref="C24:D24"/>
    <mergeCell ref="A2:P2"/>
    <mergeCell ref="A1:P1"/>
    <mergeCell ref="D11:D12"/>
    <mergeCell ref="E11:E12"/>
    <mergeCell ref="F11:K11"/>
    <mergeCell ref="L11:P11"/>
    <mergeCell ref="C11:C12"/>
    <mergeCell ref="A3:P3"/>
    <mergeCell ref="B11:B12"/>
    <mergeCell ref="A11:A12"/>
    <mergeCell ref="N9:O9"/>
    <mergeCell ref="A33:P33"/>
    <mergeCell ref="C25:K25"/>
    <mergeCell ref="C26:K26"/>
    <mergeCell ref="D27:E27"/>
    <mergeCell ref="F27:H27"/>
    <mergeCell ref="I27:J27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horizontalDpi="1200" verticalDpi="1200" r:id="rId1"/>
  <ignoredErrors>
    <ignoredError sqref="O2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activeCell="K28" sqref="K28"/>
    </sheetView>
  </sheetViews>
  <sheetFormatPr defaultRowHeight="15" x14ac:dyDescent="0.25"/>
  <cols>
    <col min="3" max="3" width="27.5703125" customWidth="1"/>
    <col min="4" max="4" width="9.42578125" bestFit="1" customWidth="1"/>
    <col min="5" max="5" width="9.28515625" bestFit="1" customWidth="1"/>
    <col min="6" max="6" width="9.42578125" bestFit="1" customWidth="1"/>
    <col min="7" max="7" width="9.5703125" customWidth="1"/>
    <col min="8" max="8" width="10.7109375" customWidth="1"/>
  </cols>
  <sheetData>
    <row r="1" spans="1:9" ht="18.75" x14ac:dyDescent="0.3">
      <c r="A1" s="453"/>
      <c r="B1" s="453"/>
      <c r="C1" s="453"/>
      <c r="D1" s="453"/>
      <c r="E1" s="453"/>
      <c r="F1" s="453"/>
      <c r="G1" s="453"/>
      <c r="H1" s="453"/>
      <c r="I1" s="278"/>
    </row>
    <row r="2" spans="1:9" ht="18.75" customHeight="1" x14ac:dyDescent="0.25">
      <c r="A2" s="463" t="s">
        <v>344</v>
      </c>
      <c r="B2" s="463"/>
      <c r="C2" s="463"/>
      <c r="D2" s="463"/>
      <c r="E2" s="463"/>
      <c r="F2" s="463"/>
      <c r="G2" s="463"/>
      <c r="H2" s="463"/>
      <c r="I2" s="278"/>
    </row>
    <row r="3" spans="1:9" ht="15.75" x14ac:dyDescent="0.25">
      <c r="A3" s="279"/>
      <c r="B3" s="279"/>
      <c r="C3" s="454" t="s">
        <v>91</v>
      </c>
      <c r="D3" s="454"/>
      <c r="E3" s="454"/>
      <c r="F3" s="454"/>
      <c r="G3" s="14"/>
      <c r="H3" s="14"/>
      <c r="I3" s="278"/>
    </row>
    <row r="4" spans="1:9" ht="15.75" x14ac:dyDescent="0.25">
      <c r="A4" s="237" t="s">
        <v>328</v>
      </c>
      <c r="B4" s="13"/>
      <c r="C4" s="14"/>
      <c r="D4" s="14"/>
      <c r="E4" s="14"/>
      <c r="F4" s="14"/>
      <c r="G4" s="14"/>
      <c r="H4" s="14"/>
      <c r="I4" s="278"/>
    </row>
    <row r="5" spans="1:9" ht="15.75" x14ac:dyDescent="0.25">
      <c r="A5" s="237" t="s">
        <v>329</v>
      </c>
      <c r="B5" s="13"/>
      <c r="C5" s="14"/>
      <c r="D5" s="14"/>
      <c r="E5" s="14"/>
      <c r="F5" s="14"/>
      <c r="G5" s="14"/>
      <c r="H5" s="14"/>
      <c r="I5" s="278"/>
    </row>
    <row r="6" spans="1:9" ht="15.75" x14ac:dyDescent="0.25">
      <c r="A6" s="237" t="s">
        <v>346</v>
      </c>
      <c r="B6" s="13"/>
      <c r="C6" s="14"/>
      <c r="D6" s="14"/>
      <c r="E6" s="14"/>
      <c r="F6" s="14"/>
      <c r="G6" s="14"/>
      <c r="H6" s="14"/>
      <c r="I6" s="278"/>
    </row>
    <row r="7" spans="1:9" ht="15.75" x14ac:dyDescent="0.25">
      <c r="A7" s="237" t="s">
        <v>1</v>
      </c>
      <c r="B7" s="13"/>
      <c r="C7" s="15"/>
      <c r="D7" s="14"/>
      <c r="E7" s="14"/>
      <c r="F7" s="14"/>
      <c r="G7" s="14"/>
      <c r="H7" s="14"/>
      <c r="I7" s="278"/>
    </row>
    <row r="8" spans="1:9" ht="15.75" x14ac:dyDescent="0.25">
      <c r="A8" s="280"/>
      <c r="B8" s="280"/>
      <c r="C8" s="14"/>
      <c r="D8" s="14"/>
      <c r="E8" s="14"/>
      <c r="F8" s="14"/>
      <c r="G8" s="14"/>
      <c r="H8" s="14"/>
      <c r="I8" s="278"/>
    </row>
    <row r="9" spans="1:9" x14ac:dyDescent="0.25">
      <c r="A9" s="14"/>
      <c r="B9" s="15"/>
      <c r="C9" s="281" t="s">
        <v>319</v>
      </c>
      <c r="D9" s="282">
        <f>D30</f>
        <v>431595.9869743149</v>
      </c>
      <c r="E9" s="14"/>
      <c r="F9" s="14"/>
      <c r="G9" s="14"/>
      <c r="H9" s="14"/>
      <c r="I9" s="278"/>
    </row>
    <row r="10" spans="1:9" x14ac:dyDescent="0.25">
      <c r="A10" s="14"/>
      <c r="B10" s="15"/>
      <c r="C10" s="281" t="s">
        <v>92</v>
      </c>
      <c r="D10" s="282">
        <f>H25</f>
        <v>4500.6858309999998</v>
      </c>
      <c r="E10" s="14"/>
      <c r="F10" s="14"/>
      <c r="G10" s="14"/>
      <c r="H10" s="14"/>
      <c r="I10" s="278"/>
    </row>
    <row r="11" spans="1:9" x14ac:dyDescent="0.25">
      <c r="A11" s="14"/>
      <c r="B11" s="19"/>
      <c r="C11" s="281" t="s">
        <v>119</v>
      </c>
      <c r="D11" s="455" t="s">
        <v>379</v>
      </c>
      <c r="E11" s="455"/>
      <c r="F11" s="455"/>
      <c r="G11" s="14"/>
      <c r="H11" s="14"/>
      <c r="I11" s="278"/>
    </row>
    <row r="12" spans="1:9" x14ac:dyDescent="0.25">
      <c r="A12" s="19"/>
      <c r="B12" s="19"/>
      <c r="C12" s="14"/>
      <c r="D12" s="14"/>
      <c r="E12" s="14"/>
      <c r="F12" s="14"/>
      <c r="G12" s="14"/>
      <c r="H12" s="14"/>
      <c r="I12" s="278"/>
    </row>
    <row r="13" spans="1:9" ht="16.5" thickBot="1" x14ac:dyDescent="0.3">
      <c r="A13" s="283"/>
      <c r="B13" s="283"/>
      <c r="C13" s="14"/>
      <c r="D13" s="14"/>
      <c r="E13" s="14"/>
      <c r="F13" s="14"/>
      <c r="G13" s="14"/>
      <c r="H13" s="14"/>
      <c r="I13" s="278"/>
    </row>
    <row r="14" spans="1:9" x14ac:dyDescent="0.25">
      <c r="A14" s="456" t="s">
        <v>71</v>
      </c>
      <c r="B14" s="458" t="s">
        <v>93</v>
      </c>
      <c r="C14" s="458" t="s">
        <v>94</v>
      </c>
      <c r="D14" s="458" t="s">
        <v>320</v>
      </c>
      <c r="E14" s="460" t="s">
        <v>95</v>
      </c>
      <c r="F14" s="460"/>
      <c r="G14" s="460"/>
      <c r="H14" s="461" t="s">
        <v>96</v>
      </c>
      <c r="I14" s="278"/>
    </row>
    <row r="15" spans="1:9" ht="24.75" thickBot="1" x14ac:dyDescent="0.3">
      <c r="A15" s="457"/>
      <c r="B15" s="459"/>
      <c r="C15" s="459"/>
      <c r="D15" s="459"/>
      <c r="E15" s="383" t="s">
        <v>321</v>
      </c>
      <c r="F15" s="383" t="s">
        <v>322</v>
      </c>
      <c r="G15" s="383" t="s">
        <v>323</v>
      </c>
      <c r="H15" s="462"/>
      <c r="I15" s="278"/>
    </row>
    <row r="16" spans="1:9" x14ac:dyDescent="0.25">
      <c r="A16" s="284" t="s">
        <v>10</v>
      </c>
      <c r="B16" s="285" t="s">
        <v>10</v>
      </c>
      <c r="C16" s="286" t="s">
        <v>24</v>
      </c>
      <c r="D16" s="83">
        <f>'1. Būvlaukuma sagatavošana'!P26</f>
        <v>4033.4910999999993</v>
      </c>
      <c r="E16" s="83">
        <f>'1. Būvlaukuma sagatavošana'!M26</f>
        <v>74.8</v>
      </c>
      <c r="F16" s="83">
        <f>'1. Būvlaukuma sagatavošana'!N26</f>
        <v>3958.6910999999991</v>
      </c>
      <c r="G16" s="83">
        <f>'1. Būvlaukuma sagatavošana'!O26</f>
        <v>0</v>
      </c>
      <c r="H16" s="287">
        <f>'1. Būvlaukuma sagatavošana'!L24</f>
        <v>13.6</v>
      </c>
      <c r="I16" s="278"/>
    </row>
    <row r="17" spans="1:9" x14ac:dyDescent="0.25">
      <c r="A17" s="288" t="s">
        <v>11</v>
      </c>
      <c r="B17" s="57" t="s">
        <v>11</v>
      </c>
      <c r="C17" s="289" t="s">
        <v>29</v>
      </c>
      <c r="D17" s="60">
        <f>'2. Zemes darbi'!P30</f>
        <v>3752.4422825000001</v>
      </c>
      <c r="E17" s="60">
        <f>'2. Zemes darbi'!M30</f>
        <v>1065.2422824999999</v>
      </c>
      <c r="F17" s="60">
        <f>'2. Zemes darbi'!N30</f>
        <v>0</v>
      </c>
      <c r="G17" s="60">
        <f>'2. Zemes darbi'!O30</f>
        <v>2687.2</v>
      </c>
      <c r="H17" s="290">
        <f>'2. Zemes darbi'!L28</f>
        <v>193.68041499999998</v>
      </c>
      <c r="I17" s="278"/>
    </row>
    <row r="18" spans="1:9" x14ac:dyDescent="0.25">
      <c r="A18" s="288" t="s">
        <v>32</v>
      </c>
      <c r="B18" s="57" t="s">
        <v>32</v>
      </c>
      <c r="C18" s="291" t="s">
        <v>31</v>
      </c>
      <c r="D18" s="60">
        <f>'3. Pamati'!P65</f>
        <v>30931.7699469</v>
      </c>
      <c r="E18" s="60">
        <f>'3. Pamati'!M65</f>
        <v>8832.9473679999992</v>
      </c>
      <c r="F18" s="60">
        <f>'3. Pamati'!N65</f>
        <v>14240.842578900001</v>
      </c>
      <c r="G18" s="60">
        <f>'3. Pamati'!O65</f>
        <v>7857.98</v>
      </c>
      <c r="H18" s="290">
        <f>'3. Pamati'!L63</f>
        <v>1609.4889760000001</v>
      </c>
      <c r="I18" s="278"/>
    </row>
    <row r="19" spans="1:9" x14ac:dyDescent="0.25">
      <c r="A19" s="288" t="s">
        <v>12</v>
      </c>
      <c r="B19" s="57" t="s">
        <v>12</v>
      </c>
      <c r="C19" s="291" t="s">
        <v>37</v>
      </c>
      <c r="D19" s="60">
        <f>'5. Sienas'!P54</f>
        <v>28272.869064999995</v>
      </c>
      <c r="E19" s="60">
        <f>'5. Sienas'!M54</f>
        <v>3743.3891000000003</v>
      </c>
      <c r="F19" s="60">
        <f>'5. Sienas'!N54</f>
        <v>24959.164964999996</v>
      </c>
      <c r="G19" s="60">
        <f>'5. Sienas'!O54</f>
        <v>1400</v>
      </c>
      <c r="H19" s="290">
        <f>'5. Sienas'!L52</f>
        <v>660.17619999999999</v>
      </c>
      <c r="I19" s="278"/>
    </row>
    <row r="20" spans="1:9" x14ac:dyDescent="0.25">
      <c r="A20" s="288" t="s">
        <v>33</v>
      </c>
      <c r="B20" s="57" t="s">
        <v>33</v>
      </c>
      <c r="C20" s="292" t="s">
        <v>38</v>
      </c>
      <c r="D20" s="60">
        <f>'6. Jumts'!P34</f>
        <v>37738.219894999995</v>
      </c>
      <c r="E20" s="60">
        <f>'6. Jumts'!M34</f>
        <v>7219.9324999999999</v>
      </c>
      <c r="F20" s="60">
        <f>'6. Jumts'!N34</f>
        <v>30249.187395000001</v>
      </c>
      <c r="G20" s="60">
        <f>'6. Jumts'!O34</f>
        <v>186.60000000000002</v>
      </c>
      <c r="H20" s="290">
        <f>'6. Jumts'!L32</f>
        <v>1312.7149999999999</v>
      </c>
      <c r="I20" s="278"/>
    </row>
    <row r="21" spans="1:9" x14ac:dyDescent="0.25">
      <c r="A21" s="288" t="s">
        <v>13</v>
      </c>
      <c r="B21" s="57" t="s">
        <v>13</v>
      </c>
      <c r="C21" s="293" t="s">
        <v>41</v>
      </c>
      <c r="D21" s="60">
        <f>'4. Metāla konstrukcijas'!P47</f>
        <v>73013.581520000022</v>
      </c>
      <c r="E21" s="60">
        <f>'4. Metāla konstrukcijas'!M47</f>
        <v>715.42262000000005</v>
      </c>
      <c r="F21" s="60">
        <f>'4. Metāla konstrukcijas'!N47</f>
        <v>70252.158899999995</v>
      </c>
      <c r="G21" s="60">
        <f>'4. Metāla konstrukcijas'!O47</f>
        <v>2046</v>
      </c>
      <c r="H21" s="290">
        <f>'4. Metāla konstrukcijas'!L45</f>
        <v>130.07683999999998</v>
      </c>
      <c r="I21" s="278"/>
    </row>
    <row r="22" spans="1:9" x14ac:dyDescent="0.25">
      <c r="A22" s="288" t="s">
        <v>14</v>
      </c>
      <c r="B22" s="57" t="s">
        <v>14</v>
      </c>
      <c r="C22" s="289" t="s">
        <v>42</v>
      </c>
      <c r="D22" s="60">
        <f>'7. Grīdas'!P36</f>
        <v>16778.459865000001</v>
      </c>
      <c r="E22" s="60">
        <f>'7. Grīdas'!M36</f>
        <v>2689.0787</v>
      </c>
      <c r="F22" s="60">
        <f>'7. Grīdas'!N36</f>
        <v>13509.381165000001</v>
      </c>
      <c r="G22" s="60">
        <f>'7. Grīdas'!O36</f>
        <v>580</v>
      </c>
      <c r="H22" s="290">
        <f>'7. Grīdas'!L34</f>
        <v>488.92340000000002</v>
      </c>
      <c r="I22" s="278"/>
    </row>
    <row r="23" spans="1:9" x14ac:dyDescent="0.25">
      <c r="A23" s="284" t="s">
        <v>15</v>
      </c>
      <c r="B23" s="285" t="s">
        <v>15</v>
      </c>
      <c r="C23" s="294" t="s">
        <v>48</v>
      </c>
      <c r="D23" s="83">
        <f>'8. Ailu aizpildījumi'!P54</f>
        <v>5143.6433099999995</v>
      </c>
      <c r="E23" s="83">
        <f>'8. Ailu aizpildījumi'!M54</f>
        <v>506.13750000000005</v>
      </c>
      <c r="F23" s="83">
        <f>'8. Ailu aizpildījumi'!N54</f>
        <v>4637.5058099999997</v>
      </c>
      <c r="G23" s="60">
        <f>'8. Ailu aizpildījumi'!O54</f>
        <v>0</v>
      </c>
      <c r="H23" s="290">
        <f>'8. Ailu aizpildījumi'!L52</f>
        <v>92.024999999999991</v>
      </c>
      <c r="I23" s="278"/>
    </row>
    <row r="24" spans="1:9" x14ac:dyDescent="0.25">
      <c r="A24" s="514" t="s">
        <v>381</v>
      </c>
      <c r="B24" s="515" t="s">
        <v>381</v>
      </c>
      <c r="C24" s="16" t="s">
        <v>382</v>
      </c>
      <c r="D24" s="404">
        <f>'9. Aprīkojums'!O9</f>
        <v>183880.2</v>
      </c>
      <c r="E24" s="404">
        <v>0</v>
      </c>
      <c r="F24" s="404">
        <v>0</v>
      </c>
      <c r="G24" s="218">
        <v>0</v>
      </c>
      <c r="H24" s="516">
        <v>0</v>
      </c>
      <c r="I24" s="278"/>
    </row>
    <row r="25" spans="1:9" ht="15.75" thickBot="1" x14ac:dyDescent="0.3">
      <c r="A25" s="295" t="s">
        <v>16</v>
      </c>
      <c r="B25" s="296"/>
      <c r="C25" s="297" t="s">
        <v>17</v>
      </c>
      <c r="D25" s="298">
        <f>SUM(D16:D24)</f>
        <v>383544.67698440002</v>
      </c>
      <c r="E25" s="298">
        <f>SUM(E16:E23)</f>
        <v>24846.950070499999</v>
      </c>
      <c r="F25" s="298">
        <f>SUM(F16:F23)</f>
        <v>161806.93191389999</v>
      </c>
      <c r="G25" s="298">
        <f>SUM(G16:G23)</f>
        <v>14757.78</v>
      </c>
      <c r="H25" s="299">
        <f>SUM(H16:H23)</f>
        <v>4500.6858309999998</v>
      </c>
      <c r="I25" s="278"/>
    </row>
    <row r="26" spans="1:9" x14ac:dyDescent="0.25">
      <c r="A26" s="300"/>
      <c r="B26" s="301"/>
      <c r="C26" s="302" t="s">
        <v>97</v>
      </c>
      <c r="D26" s="303">
        <f>D25*0.05</f>
        <v>19177.233849220003</v>
      </c>
      <c r="E26" s="16"/>
      <c r="F26" s="16"/>
      <c r="G26" s="16"/>
      <c r="H26" s="16"/>
      <c r="I26" s="278"/>
    </row>
    <row r="27" spans="1:9" x14ac:dyDescent="0.25">
      <c r="A27" s="304"/>
      <c r="B27" s="305"/>
      <c r="C27" s="306" t="s">
        <v>98</v>
      </c>
      <c r="D27" s="307">
        <f>D25*0.01</f>
        <v>3835.4467698440003</v>
      </c>
      <c r="E27" s="16"/>
      <c r="F27" s="16"/>
      <c r="G27" s="16"/>
      <c r="H27" s="16"/>
      <c r="I27" s="278"/>
    </row>
    <row r="28" spans="1:9" x14ac:dyDescent="0.25">
      <c r="A28" s="304"/>
      <c r="B28" s="305"/>
      <c r="C28" s="308" t="s">
        <v>99</v>
      </c>
      <c r="D28" s="307">
        <f>D25*0.05</f>
        <v>19177.233849220003</v>
      </c>
      <c r="E28" s="16"/>
      <c r="F28" s="16"/>
      <c r="G28" s="16"/>
      <c r="H28" s="16"/>
      <c r="I28" s="278"/>
    </row>
    <row r="29" spans="1:9" ht="25.5" x14ac:dyDescent="0.25">
      <c r="A29" s="304"/>
      <c r="B29" s="305"/>
      <c r="C29" s="308" t="s">
        <v>318</v>
      </c>
      <c r="D29" s="309">
        <f>E25*0.2359</f>
        <v>5861.3955216309496</v>
      </c>
      <c r="E29" s="16"/>
      <c r="F29" s="16"/>
      <c r="G29" s="16"/>
      <c r="H29" s="16"/>
      <c r="I29" s="278"/>
    </row>
    <row r="30" spans="1:9" ht="15.75" thickBot="1" x14ac:dyDescent="0.3">
      <c r="A30" s="310"/>
      <c r="B30" s="311"/>
      <c r="C30" s="312" t="s">
        <v>100</v>
      </c>
      <c r="D30" s="313">
        <f>SUM(D25:D29)</f>
        <v>431595.9869743149</v>
      </c>
      <c r="E30" s="16"/>
      <c r="F30" s="16"/>
      <c r="G30" s="16"/>
      <c r="H30" s="16"/>
      <c r="I30" s="278"/>
    </row>
    <row r="31" spans="1:9" x14ac:dyDescent="0.25">
      <c r="A31" s="314"/>
      <c r="B31" s="314"/>
      <c r="C31" s="315"/>
      <c r="D31" s="16"/>
      <c r="E31" s="16"/>
      <c r="F31" s="16"/>
      <c r="G31" s="16"/>
      <c r="H31" s="16"/>
      <c r="I31" s="278"/>
    </row>
    <row r="32" spans="1:9" x14ac:dyDescent="0.25">
      <c r="A32" s="316"/>
      <c r="B32" s="316"/>
      <c r="C32" s="317"/>
      <c r="D32" s="14"/>
      <c r="E32" s="14"/>
      <c r="F32" s="14"/>
      <c r="G32" s="14"/>
      <c r="H32" s="14"/>
      <c r="I32" s="278"/>
    </row>
    <row r="33" spans="1:9" ht="15.75" x14ac:dyDescent="0.25">
      <c r="A33" s="19" t="s">
        <v>20</v>
      </c>
      <c r="B33" s="19"/>
      <c r="C33" s="318"/>
      <c r="D33" s="294"/>
      <c r="E33" s="14"/>
      <c r="F33" s="14"/>
      <c r="G33" s="14"/>
      <c r="H33" s="14"/>
      <c r="I33" s="278"/>
    </row>
    <row r="34" spans="1:9" ht="15.75" x14ac:dyDescent="0.25">
      <c r="A34" s="319" t="s">
        <v>16</v>
      </c>
      <c r="B34" s="319"/>
      <c r="C34" s="320" t="s">
        <v>22</v>
      </c>
      <c r="D34" s="14"/>
      <c r="E34" s="14"/>
      <c r="F34" s="14"/>
      <c r="G34" s="14"/>
      <c r="H34" s="14"/>
      <c r="I34" s="278"/>
    </row>
    <row r="35" spans="1:9" x14ac:dyDescent="0.25">
      <c r="A35" s="19" t="s">
        <v>21</v>
      </c>
      <c r="B35" s="78"/>
      <c r="C35" s="77"/>
      <c r="D35" s="77"/>
      <c r="E35" s="76"/>
      <c r="F35" s="14"/>
      <c r="G35" s="14"/>
      <c r="H35" s="14"/>
      <c r="I35" s="278"/>
    </row>
    <row r="36" spans="1:9" x14ac:dyDescent="0.25">
      <c r="A36" s="80"/>
      <c r="B36" s="80"/>
      <c r="C36" s="81" t="s">
        <v>22</v>
      </c>
      <c r="D36" s="80"/>
      <c r="E36" s="80"/>
      <c r="F36" s="14"/>
      <c r="G36" s="14"/>
      <c r="H36" s="14"/>
      <c r="I36" s="278"/>
    </row>
    <row r="37" spans="1:9" x14ac:dyDescent="0.25">
      <c r="A37" s="80" t="s">
        <v>101</v>
      </c>
      <c r="B37" s="14"/>
      <c r="C37" s="14"/>
      <c r="D37" s="14"/>
      <c r="E37" s="14"/>
      <c r="F37" s="14"/>
      <c r="G37" s="14"/>
      <c r="H37" s="14"/>
      <c r="I37" s="278"/>
    </row>
    <row r="38" spans="1:9" x14ac:dyDescent="0.25">
      <c r="A38" s="14"/>
      <c r="B38" s="14"/>
      <c r="C38" s="14"/>
      <c r="D38" s="14"/>
      <c r="E38" s="14"/>
      <c r="F38" s="14"/>
      <c r="G38" s="14"/>
      <c r="H38" s="14"/>
      <c r="I38" s="278"/>
    </row>
    <row r="39" spans="1:9" x14ac:dyDescent="0.25">
      <c r="A39" s="278"/>
      <c r="B39" s="278"/>
      <c r="C39" s="278"/>
      <c r="D39" s="278"/>
      <c r="E39" s="278"/>
      <c r="F39" s="278"/>
      <c r="G39" s="278"/>
      <c r="H39" s="278"/>
      <c r="I39" s="278"/>
    </row>
  </sheetData>
  <mergeCells count="10">
    <mergeCell ref="A1:H1"/>
    <mergeCell ref="C3:F3"/>
    <mergeCell ref="D11:F11"/>
    <mergeCell ref="A14:A15"/>
    <mergeCell ref="B14:B15"/>
    <mergeCell ref="C14:C15"/>
    <mergeCell ref="D14:D15"/>
    <mergeCell ref="E14:G14"/>
    <mergeCell ref="H14:H15"/>
    <mergeCell ref="A2:H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opLeftCell="A7" workbookViewId="0">
      <selection activeCell="F11" sqref="F11"/>
    </sheetView>
  </sheetViews>
  <sheetFormatPr defaultRowHeight="15" x14ac:dyDescent="0.25"/>
  <cols>
    <col min="2" max="2" width="41.28515625" customWidth="1"/>
    <col min="3" max="3" width="16.85546875" customWidth="1"/>
  </cols>
  <sheetData>
    <row r="1" spans="1:8" x14ac:dyDescent="0.25">
      <c r="A1" s="14"/>
      <c r="B1" s="14"/>
      <c r="C1" s="14" t="s">
        <v>102</v>
      </c>
    </row>
    <row r="2" spans="1:8" x14ac:dyDescent="0.25">
      <c r="A2" s="14"/>
      <c r="B2" s="14"/>
      <c r="C2" s="18"/>
    </row>
    <row r="3" spans="1:8" x14ac:dyDescent="0.25">
      <c r="A3" s="14"/>
      <c r="B3" s="14"/>
      <c r="C3" s="281" t="s">
        <v>103</v>
      </c>
    </row>
    <row r="4" spans="1:8" x14ac:dyDescent="0.25">
      <c r="A4" s="14"/>
      <c r="B4" s="14"/>
      <c r="C4" s="281" t="s">
        <v>104</v>
      </c>
    </row>
    <row r="5" spans="1:8" x14ac:dyDescent="0.25">
      <c r="A5" s="14"/>
      <c r="B5" s="14"/>
      <c r="C5" s="321" t="s">
        <v>380</v>
      </c>
      <c r="D5" s="3"/>
      <c r="E5" s="3"/>
    </row>
    <row r="6" spans="1:8" x14ac:dyDescent="0.25">
      <c r="A6" s="14"/>
      <c r="B6" s="14"/>
      <c r="C6" s="322"/>
    </row>
    <row r="7" spans="1:8" ht="18.75" x14ac:dyDescent="0.3">
      <c r="A7" s="464"/>
      <c r="B7" s="464"/>
      <c r="C7" s="464"/>
    </row>
    <row r="8" spans="1:8" ht="15.75" x14ac:dyDescent="0.25">
      <c r="A8" s="279"/>
      <c r="B8" s="14"/>
      <c r="C8" s="14"/>
    </row>
    <row r="9" spans="1:8" ht="15.75" x14ac:dyDescent="0.25">
      <c r="A9" s="237" t="s">
        <v>328</v>
      </c>
      <c r="B9" s="13"/>
      <c r="C9" s="14"/>
      <c r="D9" s="1"/>
      <c r="E9" s="1"/>
      <c r="F9" s="1"/>
      <c r="G9" s="1"/>
      <c r="H9" s="1"/>
    </row>
    <row r="10" spans="1:8" ht="15.75" x14ac:dyDescent="0.25">
      <c r="A10" s="237" t="s">
        <v>329</v>
      </c>
      <c r="B10" s="13"/>
      <c r="C10" s="14"/>
      <c r="D10" s="1"/>
      <c r="E10" s="1"/>
      <c r="F10" s="1"/>
      <c r="G10" s="1"/>
      <c r="H10" s="1"/>
    </row>
    <row r="11" spans="1:8" ht="15.75" x14ac:dyDescent="0.25">
      <c r="A11" s="237" t="s">
        <v>346</v>
      </c>
      <c r="B11" s="13"/>
      <c r="C11" s="14"/>
      <c r="D11" s="1"/>
      <c r="E11" s="1"/>
      <c r="F11" s="1"/>
      <c r="G11" s="1"/>
      <c r="H11" s="1"/>
    </row>
    <row r="12" spans="1:8" ht="15.75" x14ac:dyDescent="0.25">
      <c r="A12" s="468" t="s">
        <v>347</v>
      </c>
      <c r="B12" s="468"/>
      <c r="C12" s="14"/>
      <c r="D12" s="1"/>
      <c r="E12" s="1"/>
      <c r="F12" s="1"/>
      <c r="G12" s="1"/>
      <c r="H12" s="1"/>
    </row>
    <row r="13" spans="1:8" x14ac:dyDescent="0.25">
      <c r="A13" s="455" t="s">
        <v>377</v>
      </c>
      <c r="B13" s="455"/>
      <c r="C13" s="455"/>
    </row>
    <row r="14" spans="1:8" ht="16.5" thickBot="1" x14ac:dyDescent="0.3">
      <c r="A14" s="283"/>
      <c r="B14" s="14"/>
      <c r="C14" s="14"/>
    </row>
    <row r="15" spans="1:8" x14ac:dyDescent="0.25">
      <c r="A15" s="466" t="s">
        <v>71</v>
      </c>
      <c r="B15" s="440" t="s">
        <v>105</v>
      </c>
      <c r="C15" s="384" t="s">
        <v>106</v>
      </c>
    </row>
    <row r="16" spans="1:8" ht="15.75" thickBot="1" x14ac:dyDescent="0.3">
      <c r="A16" s="467"/>
      <c r="B16" s="465"/>
      <c r="C16" s="385" t="s">
        <v>324</v>
      </c>
    </row>
    <row r="17" spans="1:3" x14ac:dyDescent="0.25">
      <c r="A17" s="284" t="s">
        <v>10</v>
      </c>
      <c r="B17" s="16" t="s">
        <v>344</v>
      </c>
      <c r="C17" s="323">
        <f>C18</f>
        <v>431595.9869743149</v>
      </c>
    </row>
    <row r="18" spans="1:3" x14ac:dyDescent="0.25">
      <c r="A18" s="288"/>
      <c r="B18" s="324" t="s">
        <v>107</v>
      </c>
      <c r="C18" s="325">
        <f>Kopsavilkums!D30</f>
        <v>431595.9869743149</v>
      </c>
    </row>
    <row r="19" spans="1:3" x14ac:dyDescent="0.25">
      <c r="A19" s="288"/>
      <c r="B19" s="324" t="s">
        <v>108</v>
      </c>
      <c r="C19" s="325">
        <f>C18*0.21</f>
        <v>90635.157264606125</v>
      </c>
    </row>
    <row r="20" spans="1:3" ht="15.75" thickBot="1" x14ac:dyDescent="0.3">
      <c r="A20" s="295" t="s">
        <v>16</v>
      </c>
      <c r="B20" s="326" t="s">
        <v>109</v>
      </c>
      <c r="C20" s="327">
        <f>C18+C19</f>
        <v>522231.144238921</v>
      </c>
    </row>
    <row r="21" spans="1:3" x14ac:dyDescent="0.25">
      <c r="A21" s="316"/>
      <c r="B21" s="317"/>
      <c r="C21" s="328"/>
    </row>
    <row r="22" spans="1:3" ht="15.75" x14ac:dyDescent="0.25">
      <c r="A22" s="19" t="s">
        <v>20</v>
      </c>
      <c r="B22" s="329"/>
      <c r="C22" s="14"/>
    </row>
    <row r="23" spans="1:3" ht="15.75" x14ac:dyDescent="0.25">
      <c r="A23" s="319" t="s">
        <v>16</v>
      </c>
      <c r="B23" s="320" t="s">
        <v>22</v>
      </c>
      <c r="C23" s="14"/>
    </row>
    <row r="24" spans="1:3" x14ac:dyDescent="0.25">
      <c r="A24" s="80" t="s">
        <v>101</v>
      </c>
      <c r="B24" s="14"/>
      <c r="C24" s="14"/>
    </row>
  </sheetData>
  <mergeCells count="5">
    <mergeCell ref="A7:C7"/>
    <mergeCell ref="A13:C13"/>
    <mergeCell ref="B15:B16"/>
    <mergeCell ref="A15:A16"/>
    <mergeCell ref="A12:B12"/>
  </mergeCells>
  <printOptions horizontalCentered="1"/>
  <pageMargins left="0.25" right="0.25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7" workbookViewId="0">
      <selection activeCell="H17" sqref="H17"/>
    </sheetView>
  </sheetViews>
  <sheetFormatPr defaultRowHeight="15" x14ac:dyDescent="0.25"/>
  <cols>
    <col min="2" max="2" width="48.140625" customWidth="1"/>
    <col min="3" max="3" width="16.28515625" customWidth="1"/>
  </cols>
  <sheetData>
    <row r="1" spans="1:4" x14ac:dyDescent="0.25">
      <c r="A1" s="14"/>
      <c r="B1" s="14"/>
      <c r="C1" s="330" t="s">
        <v>102</v>
      </c>
      <c r="D1" s="1"/>
    </row>
    <row r="2" spans="1:4" x14ac:dyDescent="0.25">
      <c r="A2" s="14"/>
      <c r="B2" s="14"/>
      <c r="C2" s="294"/>
      <c r="D2" s="1"/>
    </row>
    <row r="3" spans="1:4" x14ac:dyDescent="0.25">
      <c r="A3" s="14"/>
      <c r="B3" s="14"/>
      <c r="C3" s="322" t="s">
        <v>103</v>
      </c>
      <c r="D3" s="1"/>
    </row>
    <row r="4" spans="1:4" x14ac:dyDescent="0.25">
      <c r="A4" s="14"/>
      <c r="B4" s="14"/>
      <c r="C4" s="322" t="s">
        <v>104</v>
      </c>
      <c r="D4" s="1"/>
    </row>
    <row r="5" spans="1:4" x14ac:dyDescent="0.25">
      <c r="A5" s="14"/>
      <c r="B5" s="14"/>
      <c r="C5" s="321" t="s">
        <v>379</v>
      </c>
      <c r="D5" s="1"/>
    </row>
    <row r="6" spans="1:4" x14ac:dyDescent="0.25">
      <c r="A6" s="14"/>
      <c r="B6" s="14"/>
      <c r="C6" s="322"/>
      <c r="D6" s="1"/>
    </row>
    <row r="7" spans="1:4" ht="18.75" x14ac:dyDescent="0.3">
      <c r="A7" s="453"/>
      <c r="B7" s="453"/>
      <c r="C7" s="453"/>
      <c r="D7" s="1"/>
    </row>
    <row r="8" spans="1:4" ht="15.75" x14ac:dyDescent="0.25">
      <c r="A8" s="237" t="s">
        <v>328</v>
      </c>
      <c r="B8" s="14"/>
      <c r="C8" s="14"/>
      <c r="D8" s="1"/>
    </row>
    <row r="9" spans="1:4" ht="15.75" x14ac:dyDescent="0.25">
      <c r="A9" s="237" t="s">
        <v>329</v>
      </c>
      <c r="B9" s="13"/>
      <c r="C9" s="14"/>
      <c r="D9" s="1"/>
    </row>
    <row r="10" spans="1:4" ht="15.75" x14ac:dyDescent="0.25">
      <c r="A10" s="237" t="s">
        <v>346</v>
      </c>
      <c r="B10" s="13"/>
      <c r="C10" s="14"/>
      <c r="D10" s="1"/>
    </row>
    <row r="11" spans="1:4" ht="15.75" x14ac:dyDescent="0.25">
      <c r="A11" s="468" t="s">
        <v>348</v>
      </c>
      <c r="B11" s="468"/>
      <c r="C11" s="14"/>
      <c r="D11" s="1"/>
    </row>
    <row r="12" spans="1:4" x14ac:dyDescent="0.25">
      <c r="A12" s="321" t="s">
        <v>377</v>
      </c>
      <c r="B12" s="321"/>
      <c r="C12" s="321"/>
      <c r="D12" s="1"/>
    </row>
    <row r="13" spans="1:4" x14ac:dyDescent="0.25">
      <c r="A13" s="321"/>
      <c r="B13" s="321"/>
      <c r="C13" s="321"/>
      <c r="D13" s="3"/>
    </row>
    <row r="14" spans="1:4" ht="16.5" thickBot="1" x14ac:dyDescent="0.3">
      <c r="A14" s="283"/>
      <c r="B14" s="14"/>
      <c r="C14" s="14"/>
      <c r="D14" s="1"/>
    </row>
    <row r="15" spans="1:4" x14ac:dyDescent="0.25">
      <c r="A15" s="466" t="s">
        <v>120</v>
      </c>
      <c r="B15" s="432" t="s">
        <v>105</v>
      </c>
      <c r="C15" s="384" t="s">
        <v>106</v>
      </c>
      <c r="D15" s="2"/>
    </row>
    <row r="16" spans="1:4" ht="15.75" thickBot="1" x14ac:dyDescent="0.3">
      <c r="A16" s="467"/>
      <c r="B16" s="469"/>
      <c r="C16" s="385" t="s">
        <v>324</v>
      </c>
      <c r="D16" s="2"/>
    </row>
    <row r="17" spans="1:4" x14ac:dyDescent="0.25">
      <c r="A17" s="331"/>
      <c r="B17" s="16" t="s">
        <v>349</v>
      </c>
      <c r="C17" s="323">
        <f>Koptāme!C17</f>
        <v>431595.9869743149</v>
      </c>
      <c r="D17" s="1"/>
    </row>
    <row r="18" spans="1:4" x14ac:dyDescent="0.25">
      <c r="A18" s="55"/>
      <c r="B18" s="332" t="s">
        <v>107</v>
      </c>
      <c r="C18" s="325">
        <f>C17</f>
        <v>431595.9869743149</v>
      </c>
      <c r="D18" s="1"/>
    </row>
    <row r="19" spans="1:4" x14ac:dyDescent="0.25">
      <c r="A19" s="55"/>
      <c r="B19" s="333" t="s">
        <v>110</v>
      </c>
      <c r="C19" s="325">
        <f>C18*0.05</f>
        <v>21579.799348715747</v>
      </c>
      <c r="D19" s="1"/>
    </row>
    <row r="20" spans="1:4" x14ac:dyDescent="0.25">
      <c r="A20" s="55"/>
      <c r="B20" s="334" t="s">
        <v>111</v>
      </c>
      <c r="C20" s="325">
        <f>(C18+C19)*0.21</f>
        <v>95166.91512783643</v>
      </c>
      <c r="D20" s="1"/>
    </row>
    <row r="21" spans="1:4" x14ac:dyDescent="0.25">
      <c r="A21" s="335"/>
      <c r="B21" s="308" t="s">
        <v>112</v>
      </c>
      <c r="C21" s="325">
        <f>C18+C19+C20</f>
        <v>548342.70145086711</v>
      </c>
      <c r="D21" s="1"/>
    </row>
    <row r="22" spans="1:4" x14ac:dyDescent="0.25">
      <c r="A22" s="335"/>
      <c r="B22" s="305" t="s">
        <v>113</v>
      </c>
      <c r="C22" s="336"/>
      <c r="D22" s="1"/>
    </row>
    <row r="23" spans="1:4" x14ac:dyDescent="0.25">
      <c r="A23" s="337"/>
      <c r="B23" s="338" t="s">
        <v>114</v>
      </c>
      <c r="C23" s="339">
        <f>0.04*C18</f>
        <v>17263.839478972597</v>
      </c>
      <c r="D23" s="1"/>
    </row>
    <row r="24" spans="1:4" x14ac:dyDescent="0.25">
      <c r="A24" s="335"/>
      <c r="B24" s="340" t="s">
        <v>115</v>
      </c>
      <c r="C24" s="339">
        <v>200</v>
      </c>
      <c r="D24" s="1"/>
    </row>
    <row r="25" spans="1:4" x14ac:dyDescent="0.25">
      <c r="A25" s="335"/>
      <c r="B25" s="340" t="s">
        <v>116</v>
      </c>
      <c r="C25" s="339">
        <f>180+2000</f>
        <v>2180</v>
      </c>
      <c r="D25" s="1"/>
    </row>
    <row r="26" spans="1:4" x14ac:dyDescent="0.25">
      <c r="A26" s="335"/>
      <c r="B26" s="340" t="s">
        <v>117</v>
      </c>
      <c r="C26" s="339">
        <v>200</v>
      </c>
      <c r="D26" s="1"/>
    </row>
    <row r="27" spans="1:4" ht="15.75" thickBot="1" x14ac:dyDescent="0.3">
      <c r="A27" s="341"/>
      <c r="B27" s="342" t="s">
        <v>335</v>
      </c>
      <c r="C27" s="343">
        <f>C21+C23+C24+C25+C26</f>
        <v>568186.54092983971</v>
      </c>
      <c r="D27" s="1"/>
    </row>
    <row r="28" spans="1:4" x14ac:dyDescent="0.25">
      <c r="A28" s="316"/>
      <c r="B28" s="317"/>
      <c r="C28" s="328"/>
      <c r="D28" s="1"/>
    </row>
    <row r="29" spans="1:4" x14ac:dyDescent="0.25">
      <c r="A29" s="316"/>
      <c r="B29" s="317"/>
      <c r="C29" s="328"/>
      <c r="D29" s="1"/>
    </row>
    <row r="30" spans="1:4" ht="15.75" x14ac:dyDescent="0.25">
      <c r="A30" s="19" t="s">
        <v>20</v>
      </c>
      <c r="B30" s="318"/>
      <c r="C30" s="14"/>
      <c r="D30" s="1"/>
    </row>
    <row r="31" spans="1:4" ht="15.75" x14ac:dyDescent="0.25">
      <c r="A31" s="319" t="s">
        <v>16</v>
      </c>
      <c r="B31" s="320" t="s">
        <v>22</v>
      </c>
      <c r="C31" s="14"/>
      <c r="D31" s="1"/>
    </row>
    <row r="32" spans="1:4" x14ac:dyDescent="0.25">
      <c r="A32" s="80" t="s">
        <v>101</v>
      </c>
      <c r="B32" s="14"/>
      <c r="C32" s="14"/>
      <c r="D32" s="1"/>
    </row>
    <row r="33" spans="1:4" x14ac:dyDescent="0.25">
      <c r="A33" s="14"/>
      <c r="B33" s="14"/>
      <c r="C33" s="14"/>
      <c r="D33" s="1"/>
    </row>
    <row r="34" spans="1:4" ht="15.75" x14ac:dyDescent="0.25">
      <c r="A34" s="19" t="s">
        <v>21</v>
      </c>
      <c r="B34" s="318"/>
      <c r="C34" s="14"/>
      <c r="D34" s="1"/>
    </row>
    <row r="35" spans="1:4" x14ac:dyDescent="0.25">
      <c r="A35" s="80"/>
      <c r="B35" s="320" t="s">
        <v>22</v>
      </c>
      <c r="C35" s="14"/>
      <c r="D35" s="1"/>
    </row>
    <row r="36" spans="1:4" x14ac:dyDescent="0.25">
      <c r="A36" s="80" t="s">
        <v>101</v>
      </c>
      <c r="B36" s="14"/>
      <c r="C36" s="14"/>
      <c r="D36" s="1"/>
    </row>
    <row r="37" spans="1:4" x14ac:dyDescent="0.25">
      <c r="A37" s="14"/>
      <c r="B37" s="14"/>
      <c r="C37" s="14"/>
      <c r="D37" s="1"/>
    </row>
    <row r="38" spans="1:4" ht="15.75" x14ac:dyDescent="0.25">
      <c r="A38" s="19" t="s">
        <v>118</v>
      </c>
      <c r="B38" s="318"/>
      <c r="C38" s="14"/>
      <c r="D38" s="1"/>
    </row>
    <row r="39" spans="1:4" x14ac:dyDescent="0.25">
      <c r="A39" s="80"/>
      <c r="B39" s="320" t="s">
        <v>22</v>
      </c>
      <c r="C39" s="14"/>
      <c r="D39" s="1"/>
    </row>
  </sheetData>
  <mergeCells count="4">
    <mergeCell ref="A7:C7"/>
    <mergeCell ref="B15:B16"/>
    <mergeCell ref="A15:A16"/>
    <mergeCell ref="A11:B11"/>
  </mergeCells>
  <printOptions horizontalCentered="1"/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17" sqref="G17"/>
    </sheetView>
  </sheetViews>
  <sheetFormatPr defaultRowHeight="15" x14ac:dyDescent="0.25"/>
  <cols>
    <col min="1" max="1" width="9.28515625" customWidth="1"/>
    <col min="2" max="2" width="28.5703125" customWidth="1"/>
    <col min="3" max="3" width="12.85546875" customWidth="1"/>
    <col min="4" max="4" width="13.140625" customWidth="1"/>
    <col min="5" max="5" width="15.28515625" customWidth="1"/>
  </cols>
  <sheetData>
    <row r="1" spans="1:5" x14ac:dyDescent="0.25">
      <c r="A1" s="278"/>
      <c r="B1" s="278"/>
      <c r="C1" s="278"/>
      <c r="D1" s="278"/>
      <c r="E1" s="278"/>
    </row>
    <row r="2" spans="1:5" ht="15.75" x14ac:dyDescent="0.25">
      <c r="A2" s="472"/>
      <c r="B2" s="472"/>
      <c r="C2" s="472"/>
      <c r="D2" s="472"/>
      <c r="E2" s="472"/>
    </row>
    <row r="3" spans="1:5" ht="15.75" thickBot="1" x14ac:dyDescent="0.3">
      <c r="A3" s="278"/>
      <c r="B3" s="278"/>
      <c r="C3" s="344"/>
      <c r="D3" s="278"/>
      <c r="E3" s="278"/>
    </row>
    <row r="4" spans="1:5" ht="15.75" thickBot="1" x14ac:dyDescent="0.3">
      <c r="A4" s="388" t="s">
        <v>121</v>
      </c>
      <c r="B4" s="389" t="s">
        <v>122</v>
      </c>
      <c r="C4" s="389" t="s">
        <v>123</v>
      </c>
      <c r="D4" s="389" t="s">
        <v>124</v>
      </c>
      <c r="E4" s="390" t="s">
        <v>125</v>
      </c>
    </row>
    <row r="5" spans="1:5" ht="32.25" customHeight="1" x14ac:dyDescent="0.25">
      <c r="A5" s="395">
        <v>1</v>
      </c>
      <c r="B5" s="396" t="s">
        <v>126</v>
      </c>
      <c r="C5" s="397" t="s">
        <v>127</v>
      </c>
      <c r="D5" s="397" t="s">
        <v>325</v>
      </c>
      <c r="E5" s="398">
        <f>Kopsavilkums!D30</f>
        <v>431595.9869743149</v>
      </c>
    </row>
    <row r="6" spans="1:5" x14ac:dyDescent="0.25">
      <c r="A6" s="386">
        <v>2</v>
      </c>
      <c r="B6" s="387" t="s">
        <v>128</v>
      </c>
      <c r="C6" s="345" t="s">
        <v>129</v>
      </c>
      <c r="D6" s="345" t="s">
        <v>325</v>
      </c>
      <c r="E6" s="346">
        <f>Kopsavilkums!D25</f>
        <v>383544.67698440002</v>
      </c>
    </row>
    <row r="7" spans="1:5" x14ac:dyDescent="0.25">
      <c r="A7" s="470">
        <v>3</v>
      </c>
      <c r="B7" s="471" t="s">
        <v>130</v>
      </c>
      <c r="C7" s="345" t="s">
        <v>131</v>
      </c>
      <c r="D7" s="345" t="s">
        <v>132</v>
      </c>
      <c r="E7" s="346">
        <f>Kopsavilkums!H25</f>
        <v>4500.6858309999998</v>
      </c>
    </row>
    <row r="8" spans="1:5" x14ac:dyDescent="0.25">
      <c r="A8" s="470"/>
      <c r="B8" s="471"/>
      <c r="C8" s="345" t="s">
        <v>133</v>
      </c>
      <c r="D8" s="345" t="s">
        <v>134</v>
      </c>
      <c r="E8" s="346">
        <f>E7/8</f>
        <v>562.58572887499997</v>
      </c>
    </row>
    <row r="9" spans="1:5" x14ac:dyDescent="0.25">
      <c r="A9" s="386">
        <v>4</v>
      </c>
      <c r="B9" s="387" t="s">
        <v>135</v>
      </c>
      <c r="C9" s="345" t="s">
        <v>136</v>
      </c>
      <c r="D9" s="345" t="s">
        <v>326</v>
      </c>
      <c r="E9" s="346">
        <f>E6/E8</f>
        <v>681.75329962843614</v>
      </c>
    </row>
    <row r="10" spans="1:5" x14ac:dyDescent="0.25">
      <c r="A10" s="386">
        <v>5</v>
      </c>
      <c r="B10" s="387" t="s">
        <v>137</v>
      </c>
      <c r="C10" s="345" t="s">
        <v>138</v>
      </c>
      <c r="D10" s="345" t="s">
        <v>325</v>
      </c>
      <c r="E10" s="346">
        <f>Kopsavilkums!E25</f>
        <v>24846.950070499999</v>
      </c>
    </row>
    <row r="11" spans="1:5" ht="25.5" x14ac:dyDescent="0.25">
      <c r="A11" s="386">
        <v>6</v>
      </c>
      <c r="B11" s="387" t="s">
        <v>139</v>
      </c>
      <c r="C11" s="345" t="s">
        <v>140</v>
      </c>
      <c r="D11" s="345" t="s">
        <v>141</v>
      </c>
      <c r="E11" s="347">
        <v>4</v>
      </c>
    </row>
    <row r="12" spans="1:5" ht="25.5" x14ac:dyDescent="0.25">
      <c r="A12" s="386">
        <v>7</v>
      </c>
      <c r="B12" s="387" t="s">
        <v>142</v>
      </c>
      <c r="C12" s="345" t="s">
        <v>143</v>
      </c>
      <c r="D12" s="345" t="s">
        <v>326</v>
      </c>
      <c r="E12" s="346">
        <f>E10/E8</f>
        <v>44.165624535457603</v>
      </c>
    </row>
    <row r="13" spans="1:5" ht="25.5" x14ac:dyDescent="0.25">
      <c r="A13" s="386">
        <v>8</v>
      </c>
      <c r="B13" s="387" t="s">
        <v>144</v>
      </c>
      <c r="C13" s="345" t="s">
        <v>145</v>
      </c>
      <c r="D13" s="345" t="s">
        <v>327</v>
      </c>
      <c r="E13" s="346">
        <f>E12*22</f>
        <v>971.64373978006722</v>
      </c>
    </row>
    <row r="14" spans="1:5" x14ac:dyDescent="0.25">
      <c r="A14" s="386">
        <v>9</v>
      </c>
      <c r="B14" s="387" t="s">
        <v>146</v>
      </c>
      <c r="C14" s="345" t="s">
        <v>147</v>
      </c>
      <c r="D14" s="345" t="s">
        <v>148</v>
      </c>
      <c r="E14" s="346">
        <f>(E8/E11)/22</f>
        <v>6.3930196463068176</v>
      </c>
    </row>
    <row r="15" spans="1:5" x14ac:dyDescent="0.25">
      <c r="A15" s="386">
        <v>10</v>
      </c>
      <c r="B15" s="387" t="s">
        <v>149</v>
      </c>
      <c r="C15" s="345" t="s">
        <v>150</v>
      </c>
      <c r="D15" s="345" t="s">
        <v>151</v>
      </c>
      <c r="E15" s="347">
        <v>1323.75</v>
      </c>
    </row>
    <row r="16" spans="1:5" x14ac:dyDescent="0.25">
      <c r="A16" s="386">
        <v>11</v>
      </c>
      <c r="B16" s="387" t="s">
        <v>152</v>
      </c>
      <c r="C16" s="345" t="s">
        <v>153</v>
      </c>
      <c r="D16" s="345" t="s">
        <v>154</v>
      </c>
      <c r="E16" s="347">
        <v>8451.82</v>
      </c>
    </row>
    <row r="17" spans="1:5" ht="26.25" thickBot="1" x14ac:dyDescent="0.3">
      <c r="A17" s="348">
        <v>12</v>
      </c>
      <c r="B17" s="349" t="s">
        <v>341</v>
      </c>
      <c r="C17" s="350" t="s">
        <v>342</v>
      </c>
      <c r="D17" s="350" t="s">
        <v>343</v>
      </c>
      <c r="E17" s="351">
        <v>4213.5200000000004</v>
      </c>
    </row>
    <row r="18" spans="1:5" x14ac:dyDescent="0.25">
      <c r="A18" s="391"/>
      <c r="B18" s="392"/>
      <c r="C18" s="393"/>
      <c r="D18" s="393"/>
      <c r="E18" s="394"/>
    </row>
  </sheetData>
  <mergeCells count="3">
    <mergeCell ref="A7:A8"/>
    <mergeCell ref="B7:B8"/>
    <mergeCell ref="A2:E2"/>
  </mergeCells>
  <printOptions horizontalCentered="1"/>
  <pageMargins left="0.7" right="0.7" top="0.75" bottom="0.75" header="0.3" footer="0.3"/>
  <pageSetup paperSize="9" orientation="portrait" r:id="rId1"/>
  <ignoredErrors>
    <ignoredError sqref="E9 E12:E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40"/>
  <sheetViews>
    <sheetView topLeftCell="A19" workbookViewId="0">
      <selection activeCell="E7" sqref="E7"/>
    </sheetView>
  </sheetViews>
  <sheetFormatPr defaultRowHeight="15" x14ac:dyDescent="0.25"/>
  <cols>
    <col min="3" max="3" width="38.85546875" customWidth="1"/>
    <col min="8" max="8" width="12" customWidth="1"/>
    <col min="14" max="14" width="11" customWidth="1"/>
  </cols>
  <sheetData>
    <row r="1" spans="1:16" ht="15.75" x14ac:dyDescent="0.25">
      <c r="A1" s="417" t="s">
        <v>59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6" ht="15.75" x14ac:dyDescent="0.25">
      <c r="A2" s="417" t="s">
        <v>29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x14ac:dyDescent="0.25">
      <c r="A3" s="435" t="s">
        <v>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6" ht="15.75" x14ac:dyDescent="0.25">
      <c r="A4" s="12" t="s">
        <v>328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329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346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345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P30</f>
        <v>3752.4422825000001</v>
      </c>
      <c r="O9" s="18"/>
      <c r="P9" s="14"/>
    </row>
    <row r="10" spans="1:16" ht="16.5" thickBot="1" x14ac:dyDescent="0.3">
      <c r="A10" s="19" t="s">
        <v>378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6" t="s">
        <v>71</v>
      </c>
      <c r="B11" s="438" t="s">
        <v>3</v>
      </c>
      <c r="C11" s="440" t="s">
        <v>62</v>
      </c>
      <c r="D11" s="432" t="s">
        <v>4</v>
      </c>
      <c r="E11" s="432" t="s">
        <v>5</v>
      </c>
      <c r="F11" s="432" t="s">
        <v>6</v>
      </c>
      <c r="G11" s="432"/>
      <c r="H11" s="432"/>
      <c r="I11" s="432"/>
      <c r="J11" s="432"/>
      <c r="K11" s="432"/>
      <c r="L11" s="432" t="s">
        <v>7</v>
      </c>
      <c r="M11" s="432"/>
      <c r="N11" s="432"/>
      <c r="O11" s="432"/>
      <c r="P11" s="434"/>
    </row>
    <row r="12" spans="1:16" ht="48" x14ac:dyDescent="0.25">
      <c r="A12" s="437"/>
      <c r="B12" s="439"/>
      <c r="C12" s="441"/>
      <c r="D12" s="433"/>
      <c r="E12" s="433"/>
      <c r="F12" s="370" t="s">
        <v>8</v>
      </c>
      <c r="G12" s="370" t="s">
        <v>197</v>
      </c>
      <c r="H12" s="370" t="s">
        <v>198</v>
      </c>
      <c r="I12" s="370" t="s">
        <v>199</v>
      </c>
      <c r="J12" s="370" t="s">
        <v>200</v>
      </c>
      <c r="K12" s="370" t="s">
        <v>201</v>
      </c>
      <c r="L12" s="370" t="s">
        <v>9</v>
      </c>
      <c r="M12" s="370" t="s">
        <v>198</v>
      </c>
      <c r="N12" s="370" t="s">
        <v>199</v>
      </c>
      <c r="O12" s="370" t="s">
        <v>200</v>
      </c>
      <c r="P12" s="371" t="s">
        <v>202</v>
      </c>
    </row>
    <row r="13" spans="1:16" ht="15.75" thickBot="1" x14ac:dyDescent="0.3">
      <c r="A13" s="372">
        <v>1</v>
      </c>
      <c r="B13" s="373">
        <v>2</v>
      </c>
      <c r="C13" s="373">
        <v>3</v>
      </c>
      <c r="D13" s="374">
        <v>4</v>
      </c>
      <c r="E13" s="373">
        <v>5</v>
      </c>
      <c r="F13" s="373">
        <v>6</v>
      </c>
      <c r="G13" s="373">
        <v>7</v>
      </c>
      <c r="H13" s="373">
        <v>8</v>
      </c>
      <c r="I13" s="373">
        <v>9</v>
      </c>
      <c r="J13" s="373">
        <v>10</v>
      </c>
      <c r="K13" s="373">
        <v>11</v>
      </c>
      <c r="L13" s="373">
        <v>12</v>
      </c>
      <c r="M13" s="373">
        <v>13</v>
      </c>
      <c r="N13" s="373">
        <v>14</v>
      </c>
      <c r="O13" s="373">
        <v>15</v>
      </c>
      <c r="P13" s="375">
        <v>16</v>
      </c>
    </row>
    <row r="14" spans="1:16" ht="25.5" x14ac:dyDescent="0.25">
      <c r="A14" s="20" t="s">
        <v>10</v>
      </c>
      <c r="B14" s="21"/>
      <c r="C14" s="22" t="s">
        <v>30</v>
      </c>
      <c r="D14" s="23" t="s">
        <v>330</v>
      </c>
      <c r="E14" s="24">
        <v>8.4435000000000002</v>
      </c>
      <c r="F14" s="25">
        <v>0.61</v>
      </c>
      <c r="G14" s="25">
        <v>5.5</v>
      </c>
      <c r="H14" s="26">
        <f t="shared" ref="H14:H26" si="0">G14*F14</f>
        <v>3.355</v>
      </c>
      <c r="I14" s="27"/>
      <c r="J14" s="27"/>
      <c r="K14" s="28">
        <f t="shared" ref="K14:K15" si="1">SUM(H14:J14)</f>
        <v>3.355</v>
      </c>
      <c r="L14" s="368">
        <f t="shared" ref="L14" si="2">E14*F14</f>
        <v>5.1505349999999996</v>
      </c>
      <c r="M14" s="29">
        <f>E14*H14</f>
        <v>28.327942499999999</v>
      </c>
      <c r="N14" s="29"/>
      <c r="O14" s="29"/>
      <c r="P14" s="30">
        <f t="shared" ref="P14:P27" si="3">SUM(M14:O14)</f>
        <v>28.327942499999999</v>
      </c>
    </row>
    <row r="15" spans="1:16" x14ac:dyDescent="0.25">
      <c r="A15" s="31"/>
      <c r="B15" s="32"/>
      <c r="C15" s="33" t="s">
        <v>73</v>
      </c>
      <c r="D15" s="34" t="s">
        <v>72</v>
      </c>
      <c r="E15" s="35">
        <v>52</v>
      </c>
      <c r="F15" s="36"/>
      <c r="G15" s="37"/>
      <c r="H15" s="35"/>
      <c r="I15" s="35"/>
      <c r="J15" s="38">
        <v>32.9</v>
      </c>
      <c r="K15" s="36">
        <f t="shared" si="1"/>
        <v>32.9</v>
      </c>
      <c r="L15" s="39"/>
      <c r="M15" s="40"/>
      <c r="N15" s="40"/>
      <c r="O15" s="40">
        <f t="shared" ref="O15:O20" si="4">E15*J15</f>
        <v>1710.8</v>
      </c>
      <c r="P15" s="41">
        <f t="shared" si="3"/>
        <v>1710.8</v>
      </c>
    </row>
    <row r="16" spans="1:16" ht="25.5" x14ac:dyDescent="0.25">
      <c r="A16" s="31" t="s">
        <v>11</v>
      </c>
      <c r="B16" s="42" t="s">
        <v>207</v>
      </c>
      <c r="C16" s="43" t="s">
        <v>208</v>
      </c>
      <c r="D16" s="44" t="s">
        <v>330</v>
      </c>
      <c r="E16" s="45">
        <v>0.86</v>
      </c>
      <c r="F16" s="46">
        <v>3.84</v>
      </c>
      <c r="G16" s="46">
        <v>5.5</v>
      </c>
      <c r="H16" s="45">
        <f t="shared" si="0"/>
        <v>21.119999999999997</v>
      </c>
      <c r="I16" s="45"/>
      <c r="J16" s="45"/>
      <c r="K16" s="46">
        <f>SUM(H16:J16)</f>
        <v>21.119999999999997</v>
      </c>
      <c r="L16" s="47">
        <f>E16*F16</f>
        <v>3.3024</v>
      </c>
      <c r="M16" s="48">
        <f>E16*H16</f>
        <v>18.163199999999996</v>
      </c>
      <c r="N16" s="48"/>
      <c r="O16" s="48"/>
      <c r="P16" s="48">
        <f t="shared" si="3"/>
        <v>18.163199999999996</v>
      </c>
    </row>
    <row r="17" spans="1:16" x14ac:dyDescent="0.25">
      <c r="A17" s="31"/>
      <c r="B17" s="49"/>
      <c r="C17" s="50" t="s">
        <v>213</v>
      </c>
      <c r="D17" s="51" t="s">
        <v>72</v>
      </c>
      <c r="E17" s="45">
        <v>4</v>
      </c>
      <c r="F17" s="46"/>
      <c r="G17" s="46"/>
      <c r="H17" s="45"/>
      <c r="I17" s="45"/>
      <c r="J17" s="45">
        <v>36</v>
      </c>
      <c r="K17" s="46">
        <f>SUM(H17:J17)</f>
        <v>36</v>
      </c>
      <c r="L17" s="47"/>
      <c r="M17" s="48"/>
      <c r="N17" s="48"/>
      <c r="O17" s="48">
        <f t="shared" si="4"/>
        <v>144</v>
      </c>
      <c r="P17" s="48">
        <f t="shared" si="3"/>
        <v>144</v>
      </c>
    </row>
    <row r="18" spans="1:16" ht="25.5" x14ac:dyDescent="0.25">
      <c r="A18" s="31" t="s">
        <v>32</v>
      </c>
      <c r="B18" s="49" t="s">
        <v>163</v>
      </c>
      <c r="C18" s="52" t="s">
        <v>209</v>
      </c>
      <c r="D18" s="44" t="s">
        <v>331</v>
      </c>
      <c r="E18" s="45">
        <v>11.09</v>
      </c>
      <c r="F18" s="46">
        <v>1.55</v>
      </c>
      <c r="G18" s="46">
        <v>5.5</v>
      </c>
      <c r="H18" s="45">
        <f t="shared" si="0"/>
        <v>8.5250000000000004</v>
      </c>
      <c r="I18" s="45"/>
      <c r="J18" s="45"/>
      <c r="K18" s="46">
        <f>SUM(H18:J18)</f>
        <v>8.5250000000000004</v>
      </c>
      <c r="L18" s="47">
        <f>E18*F18</f>
        <v>17.189499999999999</v>
      </c>
      <c r="M18" s="48">
        <f t="shared" ref="M18:M19" si="5">E18*H18</f>
        <v>94.542249999999996</v>
      </c>
      <c r="N18" s="48"/>
      <c r="O18" s="48"/>
      <c r="P18" s="48">
        <f t="shared" si="3"/>
        <v>94.542249999999996</v>
      </c>
    </row>
    <row r="19" spans="1:16" ht="25.5" x14ac:dyDescent="0.25">
      <c r="A19" s="31" t="s">
        <v>12</v>
      </c>
      <c r="B19" s="53" t="s">
        <v>184</v>
      </c>
      <c r="C19" s="52" t="s">
        <v>210</v>
      </c>
      <c r="D19" s="44" t="s">
        <v>331</v>
      </c>
      <c r="E19" s="45">
        <v>0.86</v>
      </c>
      <c r="F19" s="46">
        <v>0.35</v>
      </c>
      <c r="G19" s="46">
        <v>5.5</v>
      </c>
      <c r="H19" s="45">
        <f t="shared" si="0"/>
        <v>1.9249999999999998</v>
      </c>
      <c r="I19" s="45"/>
      <c r="J19" s="45"/>
      <c r="K19" s="46">
        <f t="shared" ref="K19:K27" si="6">SUM(H19:J19)</f>
        <v>1.9249999999999998</v>
      </c>
      <c r="L19" s="47">
        <f t="shared" ref="L19:L26" si="7">E19*F19</f>
        <v>0.30099999999999999</v>
      </c>
      <c r="M19" s="48">
        <f t="shared" si="5"/>
        <v>1.6554999999999997</v>
      </c>
      <c r="N19" s="48"/>
      <c r="O19" s="48"/>
      <c r="P19" s="48">
        <f t="shared" si="3"/>
        <v>1.6554999999999997</v>
      </c>
    </row>
    <row r="20" spans="1:16" x14ac:dyDescent="0.25">
      <c r="A20" s="31"/>
      <c r="B20" s="49"/>
      <c r="C20" s="50" t="s">
        <v>73</v>
      </c>
      <c r="D20" s="51" t="s">
        <v>72</v>
      </c>
      <c r="E20" s="45">
        <v>1</v>
      </c>
      <c r="F20" s="46"/>
      <c r="G20" s="46"/>
      <c r="H20" s="45"/>
      <c r="I20" s="45"/>
      <c r="J20" s="45">
        <v>32.9</v>
      </c>
      <c r="K20" s="46">
        <f t="shared" si="6"/>
        <v>32.9</v>
      </c>
      <c r="L20" s="47"/>
      <c r="M20" s="48"/>
      <c r="N20" s="48"/>
      <c r="O20" s="48">
        <f t="shared" si="4"/>
        <v>32.9</v>
      </c>
      <c r="P20" s="48">
        <f t="shared" si="3"/>
        <v>32.9</v>
      </c>
    </row>
    <row r="21" spans="1:16" ht="25.5" x14ac:dyDescent="0.25">
      <c r="A21" s="31" t="s">
        <v>33</v>
      </c>
      <c r="B21" s="53" t="s">
        <v>185</v>
      </c>
      <c r="C21" s="52" t="s">
        <v>88</v>
      </c>
      <c r="D21" s="44" t="s">
        <v>330</v>
      </c>
      <c r="E21" s="45">
        <f>E16</f>
        <v>0.86</v>
      </c>
      <c r="F21" s="46">
        <v>0.98</v>
      </c>
      <c r="G21" s="46">
        <v>5.5</v>
      </c>
      <c r="H21" s="45">
        <f t="shared" si="0"/>
        <v>5.39</v>
      </c>
      <c r="I21" s="45"/>
      <c r="J21" s="45"/>
      <c r="K21" s="46">
        <f t="shared" si="6"/>
        <v>5.39</v>
      </c>
      <c r="L21" s="47">
        <f t="shared" si="7"/>
        <v>0.84279999999999999</v>
      </c>
      <c r="M21" s="48">
        <f t="shared" ref="M21:M27" si="8">E21*H21</f>
        <v>4.6353999999999997</v>
      </c>
      <c r="N21" s="48"/>
      <c r="O21" s="48"/>
      <c r="P21" s="48">
        <f t="shared" si="3"/>
        <v>4.6353999999999997</v>
      </c>
    </row>
    <row r="22" spans="1:16" x14ac:dyDescent="0.25">
      <c r="A22" s="54"/>
      <c r="B22" s="49"/>
      <c r="C22" s="50" t="s">
        <v>74</v>
      </c>
      <c r="D22" s="51" t="s">
        <v>72</v>
      </c>
      <c r="E22" s="45">
        <v>1</v>
      </c>
      <c r="F22" s="46"/>
      <c r="G22" s="46"/>
      <c r="H22" s="45"/>
      <c r="I22" s="45"/>
      <c r="J22" s="45">
        <v>38.5</v>
      </c>
      <c r="K22" s="46">
        <f t="shared" si="6"/>
        <v>38.5</v>
      </c>
      <c r="L22" s="47">
        <f t="shared" si="7"/>
        <v>0</v>
      </c>
      <c r="M22" s="48">
        <f t="shared" si="8"/>
        <v>0</v>
      </c>
      <c r="N22" s="48"/>
      <c r="O22" s="48">
        <f t="shared" ref="O22:O27" si="9">E22*J22</f>
        <v>38.5</v>
      </c>
      <c r="P22" s="48">
        <f t="shared" si="3"/>
        <v>38.5</v>
      </c>
    </row>
    <row r="23" spans="1:16" ht="25.5" x14ac:dyDescent="0.25">
      <c r="A23" s="54">
        <v>6</v>
      </c>
      <c r="B23" s="49" t="s">
        <v>162</v>
      </c>
      <c r="C23" s="52" t="s">
        <v>212</v>
      </c>
      <c r="D23" s="51" t="s">
        <v>211</v>
      </c>
      <c r="E23" s="45">
        <v>4.7519999999999998</v>
      </c>
      <c r="F23" s="46">
        <v>3.84</v>
      </c>
      <c r="G23" s="46">
        <v>5.5</v>
      </c>
      <c r="H23" s="45">
        <f t="shared" si="0"/>
        <v>21.119999999999997</v>
      </c>
      <c r="I23" s="45"/>
      <c r="J23" s="45"/>
      <c r="K23" s="46">
        <f t="shared" si="6"/>
        <v>21.119999999999997</v>
      </c>
      <c r="L23" s="47">
        <f t="shared" si="7"/>
        <v>18.247679999999999</v>
      </c>
      <c r="M23" s="48">
        <f t="shared" si="8"/>
        <v>100.36223999999999</v>
      </c>
      <c r="N23" s="48"/>
      <c r="O23" s="48">
        <f t="shared" si="9"/>
        <v>0</v>
      </c>
      <c r="P23" s="48">
        <f t="shared" si="3"/>
        <v>100.36223999999999</v>
      </c>
    </row>
    <row r="24" spans="1:16" x14ac:dyDescent="0.25">
      <c r="A24" s="54"/>
      <c r="B24" s="49"/>
      <c r="C24" s="50" t="s">
        <v>214</v>
      </c>
      <c r="D24" s="51" t="s">
        <v>72</v>
      </c>
      <c r="E24" s="45">
        <v>19</v>
      </c>
      <c r="F24" s="46"/>
      <c r="G24" s="46"/>
      <c r="H24" s="45"/>
      <c r="I24" s="45"/>
      <c r="J24" s="45">
        <v>36</v>
      </c>
      <c r="K24" s="46">
        <f t="shared" si="6"/>
        <v>36</v>
      </c>
      <c r="L24" s="47"/>
      <c r="M24" s="48">
        <f t="shared" si="8"/>
        <v>0</v>
      </c>
      <c r="N24" s="48"/>
      <c r="O24" s="48">
        <f t="shared" si="9"/>
        <v>684</v>
      </c>
      <c r="P24" s="48">
        <f t="shared" si="3"/>
        <v>684</v>
      </c>
    </row>
    <row r="25" spans="1:16" ht="25.5" x14ac:dyDescent="0.25">
      <c r="A25" s="54">
        <v>7</v>
      </c>
      <c r="B25" s="49" t="s">
        <v>163</v>
      </c>
      <c r="C25" s="52" t="s">
        <v>209</v>
      </c>
      <c r="D25" s="44" t="s">
        <v>331</v>
      </c>
      <c r="E25" s="45">
        <v>95</v>
      </c>
      <c r="F25" s="46">
        <v>1.55</v>
      </c>
      <c r="G25" s="46">
        <v>5.5</v>
      </c>
      <c r="H25" s="45">
        <f t="shared" si="0"/>
        <v>8.5250000000000004</v>
      </c>
      <c r="I25" s="45"/>
      <c r="J25" s="45"/>
      <c r="K25" s="46">
        <f t="shared" si="6"/>
        <v>8.5250000000000004</v>
      </c>
      <c r="L25" s="47">
        <f t="shared" si="7"/>
        <v>147.25</v>
      </c>
      <c r="M25" s="48">
        <f t="shared" si="8"/>
        <v>809.875</v>
      </c>
      <c r="N25" s="48"/>
      <c r="O25" s="48">
        <f t="shared" si="9"/>
        <v>0</v>
      </c>
      <c r="P25" s="48">
        <f t="shared" si="3"/>
        <v>809.875</v>
      </c>
    </row>
    <row r="26" spans="1:16" x14ac:dyDescent="0.25">
      <c r="A26" s="55">
        <v>8</v>
      </c>
      <c r="B26" s="56"/>
      <c r="C26" s="64" t="s">
        <v>88</v>
      </c>
      <c r="D26" s="57" t="s">
        <v>211</v>
      </c>
      <c r="E26" s="58">
        <v>1.425</v>
      </c>
      <c r="F26" s="59">
        <v>0.98</v>
      </c>
      <c r="G26" s="59">
        <v>5.5</v>
      </c>
      <c r="H26" s="60">
        <f t="shared" si="0"/>
        <v>5.39</v>
      </c>
      <c r="I26" s="45"/>
      <c r="J26" s="58"/>
      <c r="K26" s="59">
        <f t="shared" si="6"/>
        <v>5.39</v>
      </c>
      <c r="L26" s="47">
        <f t="shared" si="7"/>
        <v>1.3965000000000001</v>
      </c>
      <c r="M26" s="62">
        <f t="shared" si="8"/>
        <v>7.6807499999999997</v>
      </c>
      <c r="N26" s="62"/>
      <c r="O26" s="62">
        <f t="shared" si="9"/>
        <v>0</v>
      </c>
      <c r="P26" s="62">
        <f t="shared" si="3"/>
        <v>7.6807499999999997</v>
      </c>
    </row>
    <row r="27" spans="1:16" x14ac:dyDescent="0.25">
      <c r="A27" s="55"/>
      <c r="B27" s="63"/>
      <c r="C27" s="64" t="s">
        <v>74</v>
      </c>
      <c r="D27" s="57" t="s">
        <v>72</v>
      </c>
      <c r="E27" s="58">
        <v>2</v>
      </c>
      <c r="F27" s="59"/>
      <c r="G27" s="59"/>
      <c r="H27" s="60"/>
      <c r="I27" s="45"/>
      <c r="J27" s="58">
        <v>38.5</v>
      </c>
      <c r="K27" s="59">
        <f t="shared" si="6"/>
        <v>38.5</v>
      </c>
      <c r="L27" s="47"/>
      <c r="M27" s="62">
        <f t="shared" si="8"/>
        <v>0</v>
      </c>
      <c r="N27" s="62"/>
      <c r="O27" s="62">
        <f t="shared" si="9"/>
        <v>77</v>
      </c>
      <c r="P27" s="62">
        <f t="shared" si="3"/>
        <v>77</v>
      </c>
    </row>
    <row r="28" spans="1:16" x14ac:dyDescent="0.25">
      <c r="A28" s="65" t="s">
        <v>16</v>
      </c>
      <c r="B28" s="56" t="s">
        <v>16</v>
      </c>
      <c r="C28" s="430" t="s">
        <v>17</v>
      </c>
      <c r="D28" s="430"/>
      <c r="E28" s="66" t="s">
        <v>16</v>
      </c>
      <c r="F28" s="66" t="s">
        <v>16</v>
      </c>
      <c r="G28" s="66" t="s">
        <v>16</v>
      </c>
      <c r="H28" s="60"/>
      <c r="I28" s="66" t="s">
        <v>16</v>
      </c>
      <c r="J28" s="66" t="s">
        <v>16</v>
      </c>
      <c r="K28" s="66" t="s">
        <v>16</v>
      </c>
      <c r="L28" s="47">
        <f>SUM(L14:L27)</f>
        <v>193.68041499999998</v>
      </c>
      <c r="M28" s="67">
        <f>SUM(M14:M27)</f>
        <v>1065.2422824999999</v>
      </c>
      <c r="N28" s="67">
        <f>SUM(N14:N22)</f>
        <v>0</v>
      </c>
      <c r="O28" s="67">
        <f>SUM(O14:O27)</f>
        <v>2687.2</v>
      </c>
      <c r="P28" s="67">
        <f>SUM(P14:P27)</f>
        <v>3752.4422825000001</v>
      </c>
    </row>
    <row r="29" spans="1:16" x14ac:dyDescent="0.25">
      <c r="A29" s="65" t="s">
        <v>16</v>
      </c>
      <c r="B29" s="68" t="s">
        <v>16</v>
      </c>
      <c r="C29" s="431" t="s">
        <v>18</v>
      </c>
      <c r="D29" s="431"/>
      <c r="E29" s="431"/>
      <c r="F29" s="431"/>
      <c r="G29" s="431"/>
      <c r="H29" s="431"/>
      <c r="I29" s="431"/>
      <c r="J29" s="431"/>
      <c r="K29" s="431"/>
      <c r="L29" s="124"/>
      <c r="M29" s="59"/>
      <c r="N29" s="59">
        <f>N28*0.05</f>
        <v>0</v>
      </c>
      <c r="O29" s="59"/>
      <c r="P29" s="59">
        <f>N29</f>
        <v>0</v>
      </c>
    </row>
    <row r="30" spans="1:16" ht="15.75" thickBot="1" x14ac:dyDescent="0.3">
      <c r="A30" s="69" t="s">
        <v>16</v>
      </c>
      <c r="B30" s="70" t="s">
        <v>16</v>
      </c>
      <c r="C30" s="413" t="s">
        <v>19</v>
      </c>
      <c r="D30" s="414"/>
      <c r="E30" s="414"/>
      <c r="F30" s="414"/>
      <c r="G30" s="414"/>
      <c r="H30" s="414"/>
      <c r="I30" s="414"/>
      <c r="J30" s="414"/>
      <c r="K30" s="414"/>
      <c r="L30" s="275"/>
      <c r="M30" s="72">
        <f>M28+M29</f>
        <v>1065.2422824999999</v>
      </c>
      <c r="N30" s="72">
        <f>N28+N29</f>
        <v>0</v>
      </c>
      <c r="O30" s="72">
        <f>O28+O29</f>
        <v>2687.2</v>
      </c>
      <c r="P30" s="73">
        <f>P28+P29</f>
        <v>3752.4422825000001</v>
      </c>
    </row>
    <row r="31" spans="1:16" x14ac:dyDescent="0.25">
      <c r="A31" s="19" t="s">
        <v>16</v>
      </c>
      <c r="B31" s="74" t="s">
        <v>16</v>
      </c>
      <c r="C31" s="74" t="s">
        <v>16</v>
      </c>
      <c r="D31" s="415" t="s">
        <v>16</v>
      </c>
      <c r="E31" s="415"/>
      <c r="F31" s="415" t="s">
        <v>16</v>
      </c>
      <c r="G31" s="415"/>
      <c r="H31" s="415"/>
      <c r="I31" s="415" t="s">
        <v>16</v>
      </c>
      <c r="J31" s="415"/>
      <c r="K31" s="74" t="s">
        <v>16</v>
      </c>
      <c r="L31" s="74" t="s">
        <v>16</v>
      </c>
      <c r="M31" s="74" t="s">
        <v>16</v>
      </c>
      <c r="N31" s="75"/>
      <c r="O31" s="14"/>
      <c r="P31" s="14" t="s">
        <v>16</v>
      </c>
    </row>
    <row r="32" spans="1:16" x14ac:dyDescent="0.25">
      <c r="A32" s="19" t="s">
        <v>20</v>
      </c>
      <c r="B32" s="76"/>
      <c r="C32" s="77"/>
      <c r="D32" s="14"/>
      <c r="E32" s="14"/>
      <c r="F32" s="14"/>
      <c r="G32" s="19" t="s">
        <v>21</v>
      </c>
      <c r="H32" s="78"/>
      <c r="I32" s="77"/>
      <c r="J32" s="77"/>
      <c r="K32" s="76"/>
      <c r="L32" s="76"/>
      <c r="M32" s="76"/>
      <c r="N32" s="76"/>
      <c r="O32" s="76"/>
      <c r="P32" s="14"/>
    </row>
    <row r="33" spans="1:16" x14ac:dyDescent="0.25">
      <c r="A33" s="79"/>
      <c r="B33" s="80"/>
      <c r="C33" s="81" t="s">
        <v>22</v>
      </c>
      <c r="D33" s="14"/>
      <c r="E33" s="14"/>
      <c r="F33" s="14"/>
      <c r="G33" s="80"/>
      <c r="H33" s="80"/>
      <c r="I33" s="81" t="s">
        <v>22</v>
      </c>
      <c r="J33" s="80"/>
      <c r="K33" s="80"/>
      <c r="L33" s="80"/>
      <c r="M33" s="80"/>
      <c r="N33" s="80"/>
      <c r="O33" s="14"/>
      <c r="P33" s="14"/>
    </row>
    <row r="40" spans="1:16" x14ac:dyDescent="0.25">
      <c r="A40" s="429"/>
      <c r="B40" s="429"/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</row>
  </sheetData>
  <mergeCells count="17">
    <mergeCell ref="A1:P1"/>
    <mergeCell ref="A2:P2"/>
    <mergeCell ref="D11:D12"/>
    <mergeCell ref="E11:E12"/>
    <mergeCell ref="F11:K11"/>
    <mergeCell ref="L11:P11"/>
    <mergeCell ref="A3:P3"/>
    <mergeCell ref="A11:A12"/>
    <mergeCell ref="B11:B12"/>
    <mergeCell ref="C11:C12"/>
    <mergeCell ref="A40:P40"/>
    <mergeCell ref="C28:D28"/>
    <mergeCell ref="C29:K29"/>
    <mergeCell ref="C30:K30"/>
    <mergeCell ref="D31:E31"/>
    <mergeCell ref="F31:H31"/>
    <mergeCell ref="I31:J31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69"/>
  <sheetViews>
    <sheetView topLeftCell="A42" workbookViewId="0">
      <selection activeCell="D8" sqref="D8"/>
    </sheetView>
  </sheetViews>
  <sheetFormatPr defaultRowHeight="15" x14ac:dyDescent="0.25"/>
  <cols>
    <col min="2" max="2" width="10.7109375" customWidth="1"/>
    <col min="3" max="3" width="40.7109375" customWidth="1"/>
    <col min="5" max="5" width="9.140625" customWidth="1"/>
    <col min="14" max="14" width="11.85546875" customWidth="1"/>
  </cols>
  <sheetData>
    <row r="1" spans="1:16" ht="15.75" x14ac:dyDescent="0.25">
      <c r="A1" s="417" t="s">
        <v>58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6" ht="15.75" x14ac:dyDescent="0.25">
      <c r="A2" s="417" t="s">
        <v>230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x14ac:dyDescent="0.25">
      <c r="A3" s="435" t="s">
        <v>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6" ht="15.75" x14ac:dyDescent="0.25">
      <c r="A4" s="12" t="s">
        <v>328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329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346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345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P65</f>
        <v>30931.7699469</v>
      </c>
      <c r="O9" s="18"/>
      <c r="P9" s="14"/>
    </row>
    <row r="10" spans="1:16" ht="16.5" thickBot="1" x14ac:dyDescent="0.3">
      <c r="A10" s="19" t="s">
        <v>378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6" t="s">
        <v>71</v>
      </c>
      <c r="B11" s="438" t="s">
        <v>3</v>
      </c>
      <c r="C11" s="440" t="s">
        <v>62</v>
      </c>
      <c r="D11" s="432" t="s">
        <v>4</v>
      </c>
      <c r="E11" s="432" t="s">
        <v>5</v>
      </c>
      <c r="F11" s="432" t="s">
        <v>6</v>
      </c>
      <c r="G11" s="432"/>
      <c r="H11" s="432"/>
      <c r="I11" s="432"/>
      <c r="J11" s="432"/>
      <c r="K11" s="432"/>
      <c r="L11" s="432" t="s">
        <v>7</v>
      </c>
      <c r="M11" s="432"/>
      <c r="N11" s="432"/>
      <c r="O11" s="432"/>
      <c r="P11" s="434"/>
    </row>
    <row r="12" spans="1:16" ht="48" x14ac:dyDescent="0.25">
      <c r="A12" s="437"/>
      <c r="B12" s="439"/>
      <c r="C12" s="441"/>
      <c r="D12" s="433"/>
      <c r="E12" s="433"/>
      <c r="F12" s="370" t="s">
        <v>8</v>
      </c>
      <c r="G12" s="370" t="s">
        <v>197</v>
      </c>
      <c r="H12" s="370" t="s">
        <v>198</v>
      </c>
      <c r="I12" s="370" t="s">
        <v>199</v>
      </c>
      <c r="J12" s="370" t="s">
        <v>200</v>
      </c>
      <c r="K12" s="370" t="s">
        <v>201</v>
      </c>
      <c r="L12" s="370" t="s">
        <v>9</v>
      </c>
      <c r="M12" s="370" t="s">
        <v>198</v>
      </c>
      <c r="N12" s="370" t="s">
        <v>199</v>
      </c>
      <c r="O12" s="370" t="s">
        <v>200</v>
      </c>
      <c r="P12" s="371" t="s">
        <v>202</v>
      </c>
    </row>
    <row r="13" spans="1:16" ht="15.75" thickBot="1" x14ac:dyDescent="0.3">
      <c r="A13" s="372">
        <v>1</v>
      </c>
      <c r="B13" s="373">
        <v>2</v>
      </c>
      <c r="C13" s="373">
        <v>3</v>
      </c>
      <c r="D13" s="373">
        <v>4</v>
      </c>
      <c r="E13" s="373">
        <v>5</v>
      </c>
      <c r="F13" s="373">
        <v>6</v>
      </c>
      <c r="G13" s="373">
        <v>7</v>
      </c>
      <c r="H13" s="373">
        <v>8</v>
      </c>
      <c r="I13" s="373">
        <v>9</v>
      </c>
      <c r="J13" s="373">
        <v>10</v>
      </c>
      <c r="K13" s="373">
        <v>11</v>
      </c>
      <c r="L13" s="373">
        <v>12</v>
      </c>
      <c r="M13" s="373">
        <v>13</v>
      </c>
      <c r="N13" s="373">
        <v>14</v>
      </c>
      <c r="O13" s="373">
        <v>15</v>
      </c>
      <c r="P13" s="375">
        <v>16</v>
      </c>
    </row>
    <row r="14" spans="1:16" ht="27.75" customHeight="1" x14ac:dyDescent="0.25">
      <c r="A14" s="115" t="s">
        <v>10</v>
      </c>
      <c r="B14" s="116" t="s">
        <v>183</v>
      </c>
      <c r="C14" s="117" t="s">
        <v>215</v>
      </c>
      <c r="D14" s="118" t="s">
        <v>331</v>
      </c>
      <c r="E14" s="119">
        <f>77.88*0.02*1</f>
        <v>1.5575999999999999</v>
      </c>
      <c r="F14" s="120">
        <v>0.86</v>
      </c>
      <c r="G14" s="120">
        <v>5.5</v>
      </c>
      <c r="H14" s="27">
        <f t="shared" ref="H14:H15" si="0">G14*F14</f>
        <v>4.7299999999999995</v>
      </c>
      <c r="I14" s="120"/>
      <c r="J14" s="120"/>
      <c r="K14" s="25">
        <f>SUM(H14:J14)</f>
        <v>4.7299999999999995</v>
      </c>
      <c r="L14" s="121">
        <f>E14*F14</f>
        <v>1.3395359999999998</v>
      </c>
      <c r="M14" s="122">
        <f t="shared" ref="M14" si="1">E14*H14</f>
        <v>7.3674479999999987</v>
      </c>
      <c r="N14" s="120"/>
      <c r="O14" s="120"/>
      <c r="P14" s="123">
        <f t="shared" ref="P14:P18" si="2">SUM(M14:O14)</f>
        <v>7.3674479999999987</v>
      </c>
    </row>
    <row r="15" spans="1:16" ht="28.5" customHeight="1" x14ac:dyDescent="0.25">
      <c r="A15" s="44"/>
      <c r="B15" s="124" t="s">
        <v>183</v>
      </c>
      <c r="C15" s="52" t="s">
        <v>216</v>
      </c>
      <c r="D15" s="44" t="s">
        <v>331</v>
      </c>
      <c r="E15" s="45">
        <f>55.2*0.1*1</f>
        <v>5.5200000000000005</v>
      </c>
      <c r="F15" s="44">
        <v>0.86</v>
      </c>
      <c r="G15" s="44">
        <v>5.5</v>
      </c>
      <c r="H15" s="45">
        <f t="shared" si="0"/>
        <v>4.7299999999999995</v>
      </c>
      <c r="I15" s="44"/>
      <c r="J15" s="44"/>
      <c r="K15" s="46">
        <f t="shared" ref="K15:K17" si="3">SUM(H15:J15)</f>
        <v>4.7299999999999995</v>
      </c>
      <c r="L15" s="47">
        <f t="shared" ref="L15" si="4">E15*F15</f>
        <v>4.7472000000000003</v>
      </c>
      <c r="M15" s="48">
        <f>E15*H15</f>
        <v>26.1096</v>
      </c>
      <c r="N15" s="44"/>
      <c r="O15" s="48"/>
      <c r="P15" s="48">
        <f t="shared" si="2"/>
        <v>26.1096</v>
      </c>
    </row>
    <row r="16" spans="1:16" x14ac:dyDescent="0.25">
      <c r="A16" s="44" t="s">
        <v>11</v>
      </c>
      <c r="B16" s="44"/>
      <c r="C16" s="125" t="s">
        <v>45</v>
      </c>
      <c r="D16" s="51" t="s">
        <v>68</v>
      </c>
      <c r="E16" s="45">
        <f>(1350*E15)/1000</f>
        <v>7.4520000000000008</v>
      </c>
      <c r="F16" s="44"/>
      <c r="G16" s="44"/>
      <c r="H16" s="45"/>
      <c r="I16" s="45">
        <f>'7. Grīdas'!I17</f>
        <v>4.3499999999999996</v>
      </c>
      <c r="J16" s="44"/>
      <c r="K16" s="46">
        <f t="shared" si="3"/>
        <v>4.3499999999999996</v>
      </c>
      <c r="L16" s="47"/>
      <c r="M16" s="48"/>
      <c r="N16" s="48">
        <f t="shared" ref="N16" si="5">E16*I16</f>
        <v>32.416200000000003</v>
      </c>
      <c r="O16" s="48"/>
      <c r="P16" s="48">
        <f t="shared" si="2"/>
        <v>32.416200000000003</v>
      </c>
    </row>
    <row r="17" spans="1:16" x14ac:dyDescent="0.25">
      <c r="A17" s="44"/>
      <c r="B17" s="44"/>
      <c r="C17" s="126" t="s">
        <v>190</v>
      </c>
      <c r="D17" s="44" t="s">
        <v>191</v>
      </c>
      <c r="E17" s="45">
        <v>1</v>
      </c>
      <c r="F17" s="44"/>
      <c r="G17" s="44"/>
      <c r="H17" s="45"/>
      <c r="I17" s="44"/>
      <c r="J17" s="44">
        <v>20</v>
      </c>
      <c r="K17" s="46">
        <f t="shared" si="3"/>
        <v>20</v>
      </c>
      <c r="L17" s="47"/>
      <c r="M17" s="48"/>
      <c r="N17" s="48"/>
      <c r="O17" s="48">
        <f t="shared" ref="O17:O27" si="6">E17*J17</f>
        <v>20</v>
      </c>
      <c r="P17" s="48">
        <f t="shared" si="2"/>
        <v>20</v>
      </c>
    </row>
    <row r="18" spans="1:16" ht="26.25" x14ac:dyDescent="0.25">
      <c r="A18" s="44" t="s">
        <v>32</v>
      </c>
      <c r="B18" s="44" t="s">
        <v>164</v>
      </c>
      <c r="C18" s="127" t="s">
        <v>203</v>
      </c>
      <c r="D18" s="44" t="s">
        <v>61</v>
      </c>
      <c r="E18" s="45">
        <v>148.80000000000001</v>
      </c>
      <c r="F18" s="46">
        <v>2</v>
      </c>
      <c r="G18" s="46">
        <v>5.5</v>
      </c>
      <c r="H18" s="45">
        <f>G18*F18</f>
        <v>11</v>
      </c>
      <c r="I18" s="45"/>
      <c r="J18" s="45"/>
      <c r="K18" s="46">
        <f>SUM(H18:J18)</f>
        <v>11</v>
      </c>
      <c r="L18" s="47">
        <f>E18*F18</f>
        <v>297.60000000000002</v>
      </c>
      <c r="M18" s="48">
        <f>E18*H18</f>
        <v>1636.8000000000002</v>
      </c>
      <c r="N18" s="48"/>
      <c r="O18" s="48"/>
      <c r="P18" s="48">
        <f t="shared" si="2"/>
        <v>1636.8000000000002</v>
      </c>
    </row>
    <row r="19" spans="1:16" ht="26.25" x14ac:dyDescent="0.25">
      <c r="A19" s="44"/>
      <c r="B19" s="44"/>
      <c r="C19" s="128" t="s">
        <v>75</v>
      </c>
      <c r="D19" s="44" t="s">
        <v>332</v>
      </c>
      <c r="E19" s="45">
        <v>51.48</v>
      </c>
      <c r="F19" s="46"/>
      <c r="G19" s="46"/>
      <c r="H19" s="45"/>
      <c r="I19" s="45">
        <v>2.98</v>
      </c>
      <c r="J19" s="45"/>
      <c r="K19" s="46">
        <f>SUM(H19:J19)</f>
        <v>2.98</v>
      </c>
      <c r="L19" s="47"/>
      <c r="M19" s="48"/>
      <c r="N19" s="48">
        <f t="shared" ref="N19:N21" si="7">E19*I19</f>
        <v>153.41039999999998</v>
      </c>
      <c r="O19" s="48"/>
      <c r="P19" s="48">
        <f t="shared" ref="P19:P62" si="8">SUM(M19:O19)</f>
        <v>153.41039999999998</v>
      </c>
    </row>
    <row r="20" spans="1:16" x14ac:dyDescent="0.25">
      <c r="A20" s="44"/>
      <c r="B20" s="44"/>
      <c r="C20" s="128" t="s">
        <v>186</v>
      </c>
      <c r="D20" s="44" t="s">
        <v>331</v>
      </c>
      <c r="E20" s="45">
        <v>0.2</v>
      </c>
      <c r="F20" s="46"/>
      <c r="G20" s="46"/>
      <c r="H20" s="45"/>
      <c r="I20" s="45">
        <v>90.85</v>
      </c>
      <c r="J20" s="45"/>
      <c r="K20" s="46">
        <f>SUM(H20:J20)</f>
        <v>90.85</v>
      </c>
      <c r="L20" s="47"/>
      <c r="M20" s="48"/>
      <c r="N20" s="48">
        <f t="shared" si="7"/>
        <v>18.169999999999998</v>
      </c>
      <c r="O20" s="48"/>
      <c r="P20" s="48">
        <f t="shared" si="8"/>
        <v>18.169999999999998</v>
      </c>
    </row>
    <row r="21" spans="1:16" x14ac:dyDescent="0.25">
      <c r="A21" s="44"/>
      <c r="B21" s="44"/>
      <c r="C21" s="128" t="s">
        <v>204</v>
      </c>
      <c r="D21" s="44" t="s">
        <v>67</v>
      </c>
      <c r="E21" s="45">
        <v>6.0324999999999998</v>
      </c>
      <c r="F21" s="46"/>
      <c r="G21" s="46"/>
      <c r="H21" s="45"/>
      <c r="I21" s="45">
        <v>1.0744</v>
      </c>
      <c r="J21" s="45"/>
      <c r="K21" s="46">
        <f>SUM(H21:J21)</f>
        <v>1.0744</v>
      </c>
      <c r="L21" s="47"/>
      <c r="M21" s="48"/>
      <c r="N21" s="48">
        <f t="shared" si="7"/>
        <v>6.4813179999999999</v>
      </c>
      <c r="O21" s="48"/>
      <c r="P21" s="48">
        <f t="shared" si="8"/>
        <v>6.4813179999999999</v>
      </c>
    </row>
    <row r="22" spans="1:16" ht="25.5" x14ac:dyDescent="0.25">
      <c r="A22" s="44" t="s">
        <v>12</v>
      </c>
      <c r="B22" s="44" t="s">
        <v>165</v>
      </c>
      <c r="C22" s="52" t="s">
        <v>34</v>
      </c>
      <c r="D22" s="44" t="s">
        <v>68</v>
      </c>
      <c r="E22" s="45">
        <v>1.1399999999999999</v>
      </c>
      <c r="F22" s="46">
        <v>32</v>
      </c>
      <c r="G22" s="46">
        <v>5.5</v>
      </c>
      <c r="H22" s="45">
        <f t="shared" ref="H22" si="9">G22*F22</f>
        <v>176</v>
      </c>
      <c r="I22" s="45"/>
      <c r="J22" s="45"/>
      <c r="K22" s="46">
        <f t="shared" ref="K22:K62" si="10">SUM(H22:J22)</f>
        <v>176</v>
      </c>
      <c r="L22" s="47">
        <f t="shared" ref="L22:L28" si="11">E22*F22</f>
        <v>36.479999999999997</v>
      </c>
      <c r="M22" s="48">
        <f t="shared" ref="M22:M28" si="12">E22*H22</f>
        <v>200.64</v>
      </c>
      <c r="N22" s="48"/>
      <c r="O22" s="48"/>
      <c r="P22" s="48">
        <f t="shared" si="8"/>
        <v>200.64</v>
      </c>
    </row>
    <row r="23" spans="1:16" x14ac:dyDescent="0.25">
      <c r="A23" s="44"/>
      <c r="B23" s="44"/>
      <c r="C23" s="125" t="s">
        <v>227</v>
      </c>
      <c r="D23" s="44" t="s">
        <v>68</v>
      </c>
      <c r="E23" s="45">
        <v>1.1399999999999999</v>
      </c>
      <c r="F23" s="46"/>
      <c r="G23" s="46"/>
      <c r="H23" s="45"/>
      <c r="I23" s="45">
        <v>457.75</v>
      </c>
      <c r="J23" s="45"/>
      <c r="K23" s="46">
        <f t="shared" si="10"/>
        <v>457.75</v>
      </c>
      <c r="L23" s="47"/>
      <c r="M23" s="48"/>
      <c r="N23" s="48">
        <f>E23*I23</f>
        <v>521.83499999999992</v>
      </c>
      <c r="O23" s="48"/>
      <c r="P23" s="48">
        <f t="shared" si="8"/>
        <v>521.83499999999992</v>
      </c>
    </row>
    <row r="24" spans="1:16" x14ac:dyDescent="0.25">
      <c r="A24" s="44"/>
      <c r="B24" s="44"/>
      <c r="C24" s="128" t="s">
        <v>205</v>
      </c>
      <c r="D24" s="44" t="s">
        <v>65</v>
      </c>
      <c r="E24" s="45">
        <v>840</v>
      </c>
      <c r="F24" s="46"/>
      <c r="G24" s="46"/>
      <c r="H24" s="45"/>
      <c r="I24" s="45">
        <v>9.7000000000000003E-2</v>
      </c>
      <c r="J24" s="45"/>
      <c r="K24" s="46">
        <f t="shared" si="10"/>
        <v>9.7000000000000003E-2</v>
      </c>
      <c r="L24" s="47"/>
      <c r="M24" s="48"/>
      <c r="N24" s="48">
        <f t="shared" ref="N24:N29" si="13">E24*I24</f>
        <v>81.48</v>
      </c>
      <c r="O24" s="48"/>
      <c r="P24" s="48">
        <f t="shared" si="8"/>
        <v>81.48</v>
      </c>
    </row>
    <row r="25" spans="1:16" x14ac:dyDescent="0.25">
      <c r="A25" s="44"/>
      <c r="B25" s="44"/>
      <c r="C25" s="128" t="s">
        <v>77</v>
      </c>
      <c r="D25" s="44" t="s">
        <v>69</v>
      </c>
      <c r="E25" s="45">
        <v>6</v>
      </c>
      <c r="F25" s="46"/>
      <c r="G25" s="46"/>
      <c r="H25" s="45"/>
      <c r="I25" s="45">
        <v>4.8</v>
      </c>
      <c r="J25" s="45"/>
      <c r="K25" s="46">
        <f t="shared" si="10"/>
        <v>4.8</v>
      </c>
      <c r="L25" s="47"/>
      <c r="M25" s="48"/>
      <c r="N25" s="48">
        <f t="shared" si="13"/>
        <v>28.799999999999997</v>
      </c>
      <c r="O25" s="48"/>
      <c r="P25" s="48">
        <f t="shared" si="8"/>
        <v>28.799999999999997</v>
      </c>
    </row>
    <row r="26" spans="1:16" x14ac:dyDescent="0.25">
      <c r="A26" s="44"/>
      <c r="B26" s="44"/>
      <c r="C26" s="128" t="s">
        <v>195</v>
      </c>
      <c r="D26" s="44" t="s">
        <v>191</v>
      </c>
      <c r="E26" s="45">
        <v>2</v>
      </c>
      <c r="F26" s="46"/>
      <c r="G26" s="46"/>
      <c r="H26" s="45"/>
      <c r="I26" s="45"/>
      <c r="J26" s="45">
        <v>21.54</v>
      </c>
      <c r="K26" s="46">
        <f t="shared" si="10"/>
        <v>21.54</v>
      </c>
      <c r="L26" s="47"/>
      <c r="M26" s="48"/>
      <c r="N26" s="48"/>
      <c r="O26" s="48">
        <f t="shared" si="6"/>
        <v>43.08</v>
      </c>
      <c r="P26" s="48">
        <f t="shared" si="8"/>
        <v>43.08</v>
      </c>
    </row>
    <row r="27" spans="1:16" x14ac:dyDescent="0.25">
      <c r="A27" s="44"/>
      <c r="B27" s="44"/>
      <c r="C27" s="128" t="s">
        <v>196</v>
      </c>
      <c r="D27" s="44" t="s">
        <v>191</v>
      </c>
      <c r="E27" s="45">
        <v>2</v>
      </c>
      <c r="F27" s="46"/>
      <c r="G27" s="46"/>
      <c r="H27" s="45"/>
      <c r="I27" s="45"/>
      <c r="J27" s="45">
        <v>12.1</v>
      </c>
      <c r="K27" s="46">
        <f t="shared" si="10"/>
        <v>12.1</v>
      </c>
      <c r="L27" s="47"/>
      <c r="M27" s="48"/>
      <c r="N27" s="48"/>
      <c r="O27" s="48">
        <f t="shared" si="6"/>
        <v>24.2</v>
      </c>
      <c r="P27" s="48">
        <f t="shared" si="8"/>
        <v>24.2</v>
      </c>
    </row>
    <row r="28" spans="1:16" x14ac:dyDescent="0.25">
      <c r="A28" s="44" t="s">
        <v>33</v>
      </c>
      <c r="B28" s="44" t="s">
        <v>166</v>
      </c>
      <c r="C28" s="127" t="s">
        <v>35</v>
      </c>
      <c r="D28" s="44" t="s">
        <v>331</v>
      </c>
      <c r="E28" s="45">
        <v>21.38</v>
      </c>
      <c r="F28" s="46">
        <v>0.45</v>
      </c>
      <c r="G28" s="46">
        <v>3.5</v>
      </c>
      <c r="H28" s="45">
        <f t="shared" ref="H28" si="14">F28*G28</f>
        <v>1.575</v>
      </c>
      <c r="I28" s="45"/>
      <c r="J28" s="45"/>
      <c r="K28" s="46">
        <f t="shared" si="10"/>
        <v>1.575</v>
      </c>
      <c r="L28" s="47">
        <f t="shared" si="11"/>
        <v>9.6210000000000004</v>
      </c>
      <c r="M28" s="48">
        <f t="shared" si="12"/>
        <v>33.673499999999997</v>
      </c>
      <c r="N28" s="48"/>
      <c r="O28" s="48">
        <f t="shared" ref="O28:O31" si="15">E28*J28</f>
        <v>0</v>
      </c>
      <c r="P28" s="48">
        <f t="shared" si="8"/>
        <v>33.673499999999997</v>
      </c>
    </row>
    <row r="29" spans="1:16" x14ac:dyDescent="0.25">
      <c r="A29" s="44"/>
      <c r="B29" s="44"/>
      <c r="C29" s="128" t="s">
        <v>228</v>
      </c>
      <c r="D29" s="44" t="s">
        <v>331</v>
      </c>
      <c r="E29" s="45">
        <v>21.38</v>
      </c>
      <c r="F29" s="46"/>
      <c r="G29" s="46"/>
      <c r="H29" s="45"/>
      <c r="I29" s="45">
        <v>57.99</v>
      </c>
      <c r="J29" s="45"/>
      <c r="K29" s="46">
        <f t="shared" si="10"/>
        <v>57.99</v>
      </c>
      <c r="L29" s="47"/>
      <c r="M29" s="48"/>
      <c r="N29" s="48">
        <f t="shared" si="13"/>
        <v>1239.8262</v>
      </c>
      <c r="O29" s="48"/>
      <c r="P29" s="48">
        <f t="shared" si="8"/>
        <v>1239.8262</v>
      </c>
    </row>
    <row r="30" spans="1:16" x14ac:dyDescent="0.25">
      <c r="A30" s="44"/>
      <c r="B30" s="44"/>
      <c r="C30" s="128" t="s">
        <v>155</v>
      </c>
      <c r="D30" s="44" t="s">
        <v>72</v>
      </c>
      <c r="E30" s="45">
        <v>6</v>
      </c>
      <c r="F30" s="46"/>
      <c r="G30" s="46"/>
      <c r="H30" s="45"/>
      <c r="I30" s="45"/>
      <c r="J30" s="45">
        <v>65</v>
      </c>
      <c r="K30" s="46">
        <f t="shared" si="10"/>
        <v>65</v>
      </c>
      <c r="L30" s="47"/>
      <c r="M30" s="48"/>
      <c r="N30" s="48"/>
      <c r="O30" s="48">
        <f t="shared" si="15"/>
        <v>390</v>
      </c>
      <c r="P30" s="48">
        <f t="shared" si="8"/>
        <v>390</v>
      </c>
    </row>
    <row r="31" spans="1:16" x14ac:dyDescent="0.25">
      <c r="A31" s="44"/>
      <c r="B31" s="44"/>
      <c r="C31" s="128" t="s">
        <v>156</v>
      </c>
      <c r="D31" s="44" t="s">
        <v>72</v>
      </c>
      <c r="E31" s="45">
        <v>6</v>
      </c>
      <c r="F31" s="46"/>
      <c r="G31" s="46"/>
      <c r="H31" s="45"/>
      <c r="I31" s="45"/>
      <c r="J31" s="45">
        <v>30</v>
      </c>
      <c r="K31" s="46">
        <f t="shared" si="10"/>
        <v>30</v>
      </c>
      <c r="L31" s="47"/>
      <c r="M31" s="48"/>
      <c r="N31" s="48"/>
      <c r="O31" s="48">
        <f t="shared" si="15"/>
        <v>180</v>
      </c>
      <c r="P31" s="48">
        <f t="shared" si="8"/>
        <v>180</v>
      </c>
    </row>
    <row r="32" spans="1:16" hidden="1" x14ac:dyDescent="0.25">
      <c r="A32" s="44"/>
      <c r="B32" s="44"/>
      <c r="C32" s="127"/>
      <c r="D32" s="44"/>
      <c r="E32" s="45"/>
      <c r="F32" s="46"/>
      <c r="G32" s="46"/>
      <c r="H32" s="45"/>
      <c r="I32" s="45"/>
      <c r="J32" s="45"/>
      <c r="K32" s="46">
        <f t="shared" si="10"/>
        <v>0</v>
      </c>
      <c r="L32" s="47"/>
      <c r="M32" s="48"/>
      <c r="N32" s="48"/>
      <c r="O32" s="48"/>
      <c r="P32" s="48">
        <f t="shared" si="8"/>
        <v>0</v>
      </c>
    </row>
    <row r="33" spans="1:16" hidden="1" x14ac:dyDescent="0.25">
      <c r="A33" s="44"/>
      <c r="B33" s="44"/>
      <c r="C33" s="128"/>
      <c r="D33" s="44"/>
      <c r="E33" s="45"/>
      <c r="F33" s="46"/>
      <c r="G33" s="46"/>
      <c r="H33" s="45"/>
      <c r="I33" s="45"/>
      <c r="J33" s="45"/>
      <c r="K33" s="46">
        <f t="shared" si="10"/>
        <v>0</v>
      </c>
      <c r="L33" s="47"/>
      <c r="M33" s="48"/>
      <c r="N33" s="48"/>
      <c r="O33" s="48"/>
      <c r="P33" s="48">
        <f t="shared" si="8"/>
        <v>0</v>
      </c>
    </row>
    <row r="34" spans="1:16" hidden="1" x14ac:dyDescent="0.25">
      <c r="A34" s="44"/>
      <c r="B34" s="44"/>
      <c r="C34" s="128"/>
      <c r="D34" s="44"/>
      <c r="E34" s="45"/>
      <c r="F34" s="46"/>
      <c r="G34" s="46"/>
      <c r="H34" s="45"/>
      <c r="I34" s="45"/>
      <c r="J34" s="45"/>
      <c r="K34" s="46">
        <f t="shared" si="10"/>
        <v>0</v>
      </c>
      <c r="L34" s="47"/>
      <c r="M34" s="48"/>
      <c r="N34" s="48"/>
      <c r="O34" s="48"/>
      <c r="P34" s="48">
        <f t="shared" si="8"/>
        <v>0</v>
      </c>
    </row>
    <row r="35" spans="1:16" hidden="1" x14ac:dyDescent="0.25">
      <c r="A35" s="44"/>
      <c r="B35" s="44"/>
      <c r="C35" s="128"/>
      <c r="D35" s="44"/>
      <c r="E35" s="45"/>
      <c r="F35" s="46"/>
      <c r="G35" s="46"/>
      <c r="H35" s="45"/>
      <c r="I35" s="45"/>
      <c r="J35" s="45"/>
      <c r="K35" s="46">
        <f t="shared" si="10"/>
        <v>0</v>
      </c>
      <c r="L35" s="47"/>
      <c r="M35" s="48"/>
      <c r="N35" s="48"/>
      <c r="O35" s="48"/>
      <c r="P35" s="48">
        <f t="shared" si="8"/>
        <v>0</v>
      </c>
    </row>
    <row r="36" spans="1:16" hidden="1" x14ac:dyDescent="0.25">
      <c r="A36" s="44"/>
      <c r="B36" s="44"/>
      <c r="C36" s="127"/>
      <c r="D36" s="44"/>
      <c r="E36" s="45"/>
      <c r="F36" s="46"/>
      <c r="G36" s="46"/>
      <c r="H36" s="45"/>
      <c r="I36" s="45"/>
      <c r="J36" s="45"/>
      <c r="K36" s="46">
        <f t="shared" si="10"/>
        <v>0</v>
      </c>
      <c r="L36" s="47"/>
      <c r="M36" s="48"/>
      <c r="N36" s="48"/>
      <c r="O36" s="48"/>
      <c r="P36" s="48">
        <f t="shared" si="8"/>
        <v>0</v>
      </c>
    </row>
    <row r="37" spans="1:16" hidden="1" x14ac:dyDescent="0.25">
      <c r="A37" s="44"/>
      <c r="B37" s="44"/>
      <c r="C37" s="128"/>
      <c r="D37" s="44"/>
      <c r="E37" s="45"/>
      <c r="F37" s="46"/>
      <c r="G37" s="46"/>
      <c r="H37" s="45"/>
      <c r="I37" s="45"/>
      <c r="J37" s="45"/>
      <c r="K37" s="46">
        <f t="shared" si="10"/>
        <v>0</v>
      </c>
      <c r="L37" s="47"/>
      <c r="M37" s="48"/>
      <c r="N37" s="48"/>
      <c r="O37" s="48"/>
      <c r="P37" s="48">
        <f t="shared" si="8"/>
        <v>0</v>
      </c>
    </row>
    <row r="38" spans="1:16" hidden="1" x14ac:dyDescent="0.25">
      <c r="A38" s="44"/>
      <c r="B38" s="44"/>
      <c r="C38" s="128"/>
      <c r="D38" s="44"/>
      <c r="E38" s="45"/>
      <c r="F38" s="46"/>
      <c r="G38" s="46"/>
      <c r="H38" s="45"/>
      <c r="I38" s="45"/>
      <c r="J38" s="45"/>
      <c r="K38" s="46">
        <f t="shared" si="10"/>
        <v>0</v>
      </c>
      <c r="L38" s="47"/>
      <c r="M38" s="48"/>
      <c r="N38" s="48"/>
      <c r="O38" s="48"/>
      <c r="P38" s="48">
        <f t="shared" si="8"/>
        <v>0</v>
      </c>
    </row>
    <row r="39" spans="1:16" hidden="1" x14ac:dyDescent="0.25">
      <c r="A39" s="44"/>
      <c r="B39" s="44"/>
      <c r="C39" s="128"/>
      <c r="D39" s="44"/>
      <c r="E39" s="45"/>
      <c r="F39" s="46"/>
      <c r="G39" s="46"/>
      <c r="H39" s="45"/>
      <c r="I39" s="45"/>
      <c r="J39" s="45"/>
      <c r="K39" s="46">
        <f t="shared" si="10"/>
        <v>0</v>
      </c>
      <c r="L39" s="47"/>
      <c r="M39" s="48"/>
      <c r="N39" s="48"/>
      <c r="O39" s="48"/>
      <c r="P39" s="48">
        <f t="shared" si="8"/>
        <v>0</v>
      </c>
    </row>
    <row r="40" spans="1:16" hidden="1" x14ac:dyDescent="0.25">
      <c r="A40" s="44"/>
      <c r="B40" s="44"/>
      <c r="C40" s="127"/>
      <c r="D40" s="44"/>
      <c r="E40" s="45"/>
      <c r="F40" s="46"/>
      <c r="G40" s="46"/>
      <c r="H40" s="45"/>
      <c r="I40" s="45"/>
      <c r="J40" s="45"/>
      <c r="K40" s="46">
        <f t="shared" si="10"/>
        <v>0</v>
      </c>
      <c r="L40" s="47"/>
      <c r="M40" s="48"/>
      <c r="N40" s="48"/>
      <c r="O40" s="48"/>
      <c r="P40" s="48">
        <f t="shared" si="8"/>
        <v>0</v>
      </c>
    </row>
    <row r="41" spans="1:16" hidden="1" x14ac:dyDescent="0.25">
      <c r="A41" s="51"/>
      <c r="B41" s="44"/>
      <c r="C41" s="128"/>
      <c r="D41" s="44"/>
      <c r="E41" s="45"/>
      <c r="F41" s="46"/>
      <c r="G41" s="46"/>
      <c r="H41" s="45"/>
      <c r="I41" s="45"/>
      <c r="J41" s="45"/>
      <c r="K41" s="46">
        <f t="shared" si="10"/>
        <v>0</v>
      </c>
      <c r="L41" s="47"/>
      <c r="M41" s="48"/>
      <c r="N41" s="48"/>
      <c r="O41" s="48"/>
      <c r="P41" s="48">
        <f t="shared" si="8"/>
        <v>0</v>
      </c>
    </row>
    <row r="42" spans="1:16" ht="25.5" x14ac:dyDescent="0.25">
      <c r="A42" s="44">
        <v>6</v>
      </c>
      <c r="B42" s="124" t="s">
        <v>183</v>
      </c>
      <c r="C42" s="129" t="s">
        <v>217</v>
      </c>
      <c r="D42" s="44" t="s">
        <v>331</v>
      </c>
      <c r="E42" s="45">
        <f>508.7*0.02</f>
        <v>10.173999999999999</v>
      </c>
      <c r="F42" s="44">
        <v>0.86</v>
      </c>
      <c r="G42" s="44">
        <v>5.5</v>
      </c>
      <c r="H42" s="45">
        <f t="shared" ref="H42:H43" si="16">F42*G42</f>
        <v>4.7299999999999995</v>
      </c>
      <c r="I42" s="45"/>
      <c r="J42" s="45"/>
      <c r="K42" s="46">
        <f t="shared" si="10"/>
        <v>4.7299999999999995</v>
      </c>
      <c r="L42" s="47">
        <f>F42*E42</f>
        <v>8.7496399999999994</v>
      </c>
      <c r="M42" s="48">
        <f>H42*E42</f>
        <v>48.12301999999999</v>
      </c>
      <c r="N42" s="48"/>
      <c r="O42" s="48"/>
      <c r="P42" s="48">
        <f t="shared" si="8"/>
        <v>48.12301999999999</v>
      </c>
    </row>
    <row r="43" spans="1:16" ht="25.5" x14ac:dyDescent="0.25">
      <c r="A43" s="51"/>
      <c r="B43" s="124" t="s">
        <v>183</v>
      </c>
      <c r="C43" s="52" t="s">
        <v>218</v>
      </c>
      <c r="D43" s="44" t="s">
        <v>331</v>
      </c>
      <c r="E43" s="45">
        <f>508.6*0.1</f>
        <v>50.860000000000007</v>
      </c>
      <c r="F43" s="46">
        <v>0.86</v>
      </c>
      <c r="G43" s="46">
        <v>5.5</v>
      </c>
      <c r="H43" s="45">
        <f t="shared" si="16"/>
        <v>4.7299999999999995</v>
      </c>
      <c r="I43" s="45"/>
      <c r="J43" s="45"/>
      <c r="K43" s="46">
        <f t="shared" si="10"/>
        <v>4.7299999999999995</v>
      </c>
      <c r="L43" s="47">
        <f>F43*E43</f>
        <v>43.739600000000003</v>
      </c>
      <c r="M43" s="48">
        <f>H43*E43</f>
        <v>240.56780000000001</v>
      </c>
      <c r="N43" s="48"/>
      <c r="O43" s="48"/>
      <c r="P43" s="48">
        <f t="shared" si="8"/>
        <v>240.56780000000001</v>
      </c>
    </row>
    <row r="44" spans="1:16" x14ac:dyDescent="0.25">
      <c r="A44" s="51"/>
      <c r="B44" s="44"/>
      <c r="C44" s="125" t="s">
        <v>45</v>
      </c>
      <c r="D44" s="51" t="s">
        <v>68</v>
      </c>
      <c r="E44" s="45">
        <f>1.35*E43</f>
        <v>68.661000000000016</v>
      </c>
      <c r="F44" s="46"/>
      <c r="G44" s="46"/>
      <c r="H44" s="45"/>
      <c r="I44" s="45">
        <v>4.3499999999999996</v>
      </c>
      <c r="J44" s="45"/>
      <c r="K44" s="46">
        <f t="shared" si="10"/>
        <v>4.3499999999999996</v>
      </c>
      <c r="L44" s="47"/>
      <c r="M44" s="48"/>
      <c r="N44" s="48">
        <f>I44*E44</f>
        <v>298.67535000000004</v>
      </c>
      <c r="O44" s="48"/>
      <c r="P44" s="48">
        <f t="shared" si="8"/>
        <v>298.67535000000004</v>
      </c>
    </row>
    <row r="45" spans="1:16" x14ac:dyDescent="0.25">
      <c r="A45" s="51"/>
      <c r="B45" s="44"/>
      <c r="C45" s="126" t="s">
        <v>219</v>
      </c>
      <c r="D45" s="44" t="s">
        <v>191</v>
      </c>
      <c r="E45" s="45">
        <v>2.5</v>
      </c>
      <c r="F45" s="46"/>
      <c r="G45" s="46"/>
      <c r="H45" s="45"/>
      <c r="I45" s="45"/>
      <c r="J45" s="45">
        <v>25</v>
      </c>
      <c r="K45" s="46">
        <f t="shared" si="10"/>
        <v>25</v>
      </c>
      <c r="L45" s="47"/>
      <c r="M45" s="48"/>
      <c r="N45" s="48"/>
      <c r="O45" s="48">
        <f>J45*E45</f>
        <v>62.5</v>
      </c>
      <c r="P45" s="48">
        <f t="shared" si="8"/>
        <v>62.5</v>
      </c>
    </row>
    <row r="46" spans="1:16" x14ac:dyDescent="0.25">
      <c r="A46" s="51">
        <v>7</v>
      </c>
      <c r="B46" s="124" t="s">
        <v>220</v>
      </c>
      <c r="C46" s="43" t="s">
        <v>224</v>
      </c>
      <c r="D46" s="130" t="s">
        <v>332</v>
      </c>
      <c r="E46" s="45">
        <v>1690</v>
      </c>
      <c r="F46" s="46">
        <v>0.5</v>
      </c>
      <c r="G46" s="46">
        <v>5.5</v>
      </c>
      <c r="H46" s="45">
        <f>G46*F46</f>
        <v>2.75</v>
      </c>
      <c r="I46" s="45"/>
      <c r="J46" s="45"/>
      <c r="K46" s="46">
        <f t="shared" si="10"/>
        <v>2.75</v>
      </c>
      <c r="L46" s="47">
        <f>E46*F46</f>
        <v>845</v>
      </c>
      <c r="M46" s="48">
        <f>H46*E46</f>
        <v>4647.5</v>
      </c>
      <c r="N46" s="48"/>
      <c r="O46" s="48"/>
      <c r="P46" s="48">
        <f t="shared" si="8"/>
        <v>4647.5</v>
      </c>
    </row>
    <row r="47" spans="1:16" x14ac:dyDescent="0.25">
      <c r="A47" s="51"/>
      <c r="B47" s="44"/>
      <c r="C47" s="131" t="s">
        <v>221</v>
      </c>
      <c r="D47" s="130" t="s">
        <v>222</v>
      </c>
      <c r="E47" s="45">
        <v>15</v>
      </c>
      <c r="F47" s="46"/>
      <c r="G47" s="46"/>
      <c r="H47" s="45"/>
      <c r="I47" s="45"/>
      <c r="J47" s="45">
        <v>186</v>
      </c>
      <c r="K47" s="46">
        <f t="shared" si="10"/>
        <v>186</v>
      </c>
      <c r="L47" s="47"/>
      <c r="M47" s="48"/>
      <c r="N47" s="48"/>
      <c r="O47" s="48">
        <f>J47*E47</f>
        <v>2790</v>
      </c>
      <c r="P47" s="48">
        <f t="shared" si="8"/>
        <v>2790</v>
      </c>
    </row>
    <row r="48" spans="1:16" x14ac:dyDescent="0.25">
      <c r="A48" s="51"/>
      <c r="B48" s="44"/>
      <c r="C48" s="131" t="s">
        <v>223</v>
      </c>
      <c r="D48" s="130" t="s">
        <v>331</v>
      </c>
      <c r="E48" s="45">
        <v>2.4</v>
      </c>
      <c r="F48" s="46"/>
      <c r="G48" s="46"/>
      <c r="H48" s="45"/>
      <c r="I48" s="45"/>
      <c r="J48" s="45"/>
      <c r="K48" s="46"/>
      <c r="L48" s="47"/>
      <c r="M48" s="48"/>
      <c r="N48" s="48"/>
      <c r="O48" s="48"/>
      <c r="P48" s="48"/>
    </row>
    <row r="49" spans="1:16" ht="25.5" x14ac:dyDescent="0.25">
      <c r="A49" s="44">
        <v>8</v>
      </c>
      <c r="B49" s="44" t="s">
        <v>165</v>
      </c>
      <c r="C49" s="52" t="s">
        <v>225</v>
      </c>
      <c r="D49" s="44" t="s">
        <v>68</v>
      </c>
      <c r="E49" s="45">
        <v>9.9410000000000007</v>
      </c>
      <c r="F49" s="46">
        <v>32</v>
      </c>
      <c r="G49" s="46">
        <v>5.5</v>
      </c>
      <c r="H49" s="45">
        <f t="shared" ref="H49" si="17">G49*F49</f>
        <v>176</v>
      </c>
      <c r="I49" s="45"/>
      <c r="J49" s="45"/>
      <c r="K49" s="46">
        <f t="shared" ref="K49:K58" si="18">SUM(H49:J49)</f>
        <v>176</v>
      </c>
      <c r="L49" s="47">
        <f t="shared" ref="L49" si="19">E49*F49</f>
        <v>318.11200000000002</v>
      </c>
      <c r="M49" s="48">
        <f t="shared" ref="M49" si="20">E49*H49</f>
        <v>1749.6160000000002</v>
      </c>
      <c r="N49" s="48"/>
      <c r="O49" s="48"/>
      <c r="P49" s="48">
        <f t="shared" ref="P49:P58" si="21">SUM(M49:O49)</f>
        <v>1749.6160000000002</v>
      </c>
    </row>
    <row r="50" spans="1:16" x14ac:dyDescent="0.25">
      <c r="A50" s="44"/>
      <c r="B50" s="44"/>
      <c r="C50" s="125" t="s">
        <v>226</v>
      </c>
      <c r="D50" s="44" t="s">
        <v>68</v>
      </c>
      <c r="E50" s="45">
        <v>9.9410000000000007</v>
      </c>
      <c r="F50" s="46"/>
      <c r="G50" s="46"/>
      <c r="H50" s="45"/>
      <c r="I50" s="45">
        <v>457.75</v>
      </c>
      <c r="J50" s="45"/>
      <c r="K50" s="46">
        <f t="shared" si="18"/>
        <v>457.75</v>
      </c>
      <c r="L50" s="47"/>
      <c r="M50" s="48"/>
      <c r="N50" s="48">
        <f>E50*I50</f>
        <v>4550.4927500000003</v>
      </c>
      <c r="O50" s="48"/>
      <c r="P50" s="48">
        <f t="shared" si="21"/>
        <v>4550.4927500000003</v>
      </c>
    </row>
    <row r="51" spans="1:16" x14ac:dyDescent="0.25">
      <c r="A51" s="44"/>
      <c r="B51" s="44"/>
      <c r="C51" s="128" t="s">
        <v>205</v>
      </c>
      <c r="D51" s="44" t="s">
        <v>65</v>
      </c>
      <c r="E51" s="45">
        <v>7300</v>
      </c>
      <c r="F51" s="46"/>
      <c r="G51" s="46"/>
      <c r="H51" s="45"/>
      <c r="I51" s="45">
        <v>9.7000000000000003E-2</v>
      </c>
      <c r="J51" s="45"/>
      <c r="K51" s="46">
        <f t="shared" si="18"/>
        <v>9.7000000000000003E-2</v>
      </c>
      <c r="L51" s="47"/>
      <c r="M51" s="48"/>
      <c r="N51" s="48">
        <f t="shared" ref="N51:N52" si="22">E51*I51</f>
        <v>708.1</v>
      </c>
      <c r="O51" s="48"/>
      <c r="P51" s="48">
        <f t="shared" si="21"/>
        <v>708.1</v>
      </c>
    </row>
    <row r="52" spans="1:16" x14ac:dyDescent="0.25">
      <c r="A52" s="44"/>
      <c r="B52" s="44"/>
      <c r="C52" s="128" t="s">
        <v>77</v>
      </c>
      <c r="D52" s="44" t="s">
        <v>69</v>
      </c>
      <c r="E52" s="45">
        <v>50</v>
      </c>
      <c r="F52" s="46"/>
      <c r="G52" s="46"/>
      <c r="H52" s="45"/>
      <c r="I52" s="45">
        <v>4.8</v>
      </c>
      <c r="J52" s="45"/>
      <c r="K52" s="46">
        <f t="shared" si="18"/>
        <v>4.8</v>
      </c>
      <c r="L52" s="47"/>
      <c r="M52" s="48"/>
      <c r="N52" s="48">
        <f t="shared" si="22"/>
        <v>240</v>
      </c>
      <c r="O52" s="48"/>
      <c r="P52" s="48">
        <f t="shared" si="21"/>
        <v>240</v>
      </c>
    </row>
    <row r="53" spans="1:16" x14ac:dyDescent="0.25">
      <c r="A53" s="44"/>
      <c r="B53" s="44"/>
      <c r="C53" s="128" t="s">
        <v>195</v>
      </c>
      <c r="D53" s="44" t="s">
        <v>191</v>
      </c>
      <c r="E53" s="45">
        <v>5</v>
      </c>
      <c r="F53" s="46"/>
      <c r="G53" s="46"/>
      <c r="H53" s="45"/>
      <c r="I53" s="45"/>
      <c r="J53" s="45">
        <v>21.54</v>
      </c>
      <c r="K53" s="46">
        <f t="shared" si="18"/>
        <v>21.54</v>
      </c>
      <c r="L53" s="47"/>
      <c r="M53" s="48"/>
      <c r="N53" s="48"/>
      <c r="O53" s="48">
        <f t="shared" ref="O53:O55" si="23">E53*J53</f>
        <v>107.69999999999999</v>
      </c>
      <c r="P53" s="48">
        <f t="shared" si="21"/>
        <v>107.69999999999999</v>
      </c>
    </row>
    <row r="54" spans="1:16" x14ac:dyDescent="0.25">
      <c r="A54" s="44"/>
      <c r="B54" s="44"/>
      <c r="C54" s="128" t="s">
        <v>196</v>
      </c>
      <c r="D54" s="44" t="s">
        <v>191</v>
      </c>
      <c r="E54" s="45">
        <v>5</v>
      </c>
      <c r="F54" s="46"/>
      <c r="G54" s="46"/>
      <c r="H54" s="45"/>
      <c r="I54" s="45"/>
      <c r="J54" s="45">
        <v>12.1</v>
      </c>
      <c r="K54" s="46">
        <f t="shared" si="18"/>
        <v>12.1</v>
      </c>
      <c r="L54" s="47"/>
      <c r="M54" s="48"/>
      <c r="N54" s="48"/>
      <c r="O54" s="48">
        <f t="shared" si="23"/>
        <v>60.5</v>
      </c>
      <c r="P54" s="48">
        <f t="shared" si="21"/>
        <v>60.5</v>
      </c>
    </row>
    <row r="55" spans="1:16" x14ac:dyDescent="0.25">
      <c r="A55" s="44">
        <v>9</v>
      </c>
      <c r="B55" s="44" t="s">
        <v>166</v>
      </c>
      <c r="C55" s="127" t="s">
        <v>229</v>
      </c>
      <c r="D55" s="44" t="s">
        <v>331</v>
      </c>
      <c r="E55" s="45">
        <v>98</v>
      </c>
      <c r="F55" s="46">
        <v>0.45</v>
      </c>
      <c r="G55" s="46">
        <v>5.5</v>
      </c>
      <c r="H55" s="45">
        <f t="shared" ref="H55" si="24">F55*G55</f>
        <v>2.4750000000000001</v>
      </c>
      <c r="I55" s="45"/>
      <c r="J55" s="45"/>
      <c r="K55" s="46">
        <f t="shared" si="18"/>
        <v>2.4750000000000001</v>
      </c>
      <c r="L55" s="47">
        <f t="shared" ref="L55" si="25">E55*F55</f>
        <v>44.1</v>
      </c>
      <c r="M55" s="48">
        <f t="shared" ref="M55" si="26">E55*H55</f>
        <v>242.55</v>
      </c>
      <c r="N55" s="48"/>
      <c r="O55" s="48">
        <f t="shared" si="23"/>
        <v>0</v>
      </c>
      <c r="P55" s="48">
        <f t="shared" si="21"/>
        <v>242.55</v>
      </c>
    </row>
    <row r="56" spans="1:16" x14ac:dyDescent="0.25">
      <c r="A56" s="44"/>
      <c r="B56" s="44"/>
      <c r="C56" s="128" t="s">
        <v>228</v>
      </c>
      <c r="D56" s="44" t="s">
        <v>331</v>
      </c>
      <c r="E56" s="45">
        <v>98</v>
      </c>
      <c r="F56" s="46"/>
      <c r="G56" s="46"/>
      <c r="H56" s="45"/>
      <c r="I56" s="45">
        <v>57.99</v>
      </c>
      <c r="J56" s="45"/>
      <c r="K56" s="46">
        <f t="shared" si="18"/>
        <v>57.99</v>
      </c>
      <c r="L56" s="47"/>
      <c r="M56" s="48"/>
      <c r="N56" s="48">
        <f t="shared" ref="N56" si="27">E56*I56</f>
        <v>5683.02</v>
      </c>
      <c r="O56" s="48"/>
      <c r="P56" s="48">
        <f t="shared" si="21"/>
        <v>5683.02</v>
      </c>
    </row>
    <row r="57" spans="1:16" x14ac:dyDescent="0.25">
      <c r="A57" s="44"/>
      <c r="B57" s="44"/>
      <c r="C57" s="128" t="s">
        <v>155</v>
      </c>
      <c r="D57" s="44" t="s">
        <v>72</v>
      </c>
      <c r="E57" s="45">
        <v>44</v>
      </c>
      <c r="F57" s="46"/>
      <c r="G57" s="46"/>
      <c r="H57" s="45"/>
      <c r="I57" s="45"/>
      <c r="J57" s="45">
        <v>65</v>
      </c>
      <c r="K57" s="46">
        <f t="shared" si="18"/>
        <v>65</v>
      </c>
      <c r="L57" s="47"/>
      <c r="M57" s="48"/>
      <c r="N57" s="48"/>
      <c r="O57" s="48">
        <f t="shared" ref="O57:O58" si="28">E57*J57</f>
        <v>2860</v>
      </c>
      <c r="P57" s="48">
        <f t="shared" si="21"/>
        <v>2860</v>
      </c>
    </row>
    <row r="58" spans="1:16" x14ac:dyDescent="0.25">
      <c r="A58" s="44"/>
      <c r="B58" s="44"/>
      <c r="C58" s="128" t="s">
        <v>156</v>
      </c>
      <c r="D58" s="44" t="s">
        <v>72</v>
      </c>
      <c r="E58" s="45">
        <v>44</v>
      </c>
      <c r="F58" s="46"/>
      <c r="G58" s="46"/>
      <c r="H58" s="45"/>
      <c r="I58" s="45"/>
      <c r="J58" s="45">
        <v>30</v>
      </c>
      <c r="K58" s="46">
        <f t="shared" si="18"/>
        <v>30</v>
      </c>
      <c r="L58" s="47"/>
      <c r="M58" s="48"/>
      <c r="N58" s="48"/>
      <c r="O58" s="48">
        <f t="shared" si="28"/>
        <v>1320</v>
      </c>
      <c r="P58" s="48">
        <f t="shared" si="21"/>
        <v>1320</v>
      </c>
    </row>
    <row r="59" spans="1:16" hidden="1" x14ac:dyDescent="0.25">
      <c r="A59" s="57"/>
      <c r="B59" s="132"/>
      <c r="C59" s="133"/>
      <c r="D59" s="132"/>
      <c r="E59" s="58"/>
      <c r="F59" s="59"/>
      <c r="G59" s="59"/>
      <c r="H59" s="60"/>
      <c r="I59" s="58"/>
      <c r="J59" s="60"/>
      <c r="K59" s="59"/>
      <c r="L59" s="61"/>
      <c r="M59" s="62"/>
      <c r="N59" s="62"/>
      <c r="O59" s="62"/>
      <c r="P59" s="62"/>
    </row>
    <row r="60" spans="1:16" hidden="1" x14ac:dyDescent="0.25">
      <c r="A60" s="57"/>
      <c r="B60" s="132"/>
      <c r="C60" s="133"/>
      <c r="D60" s="132"/>
      <c r="E60" s="58"/>
      <c r="F60" s="59"/>
      <c r="G60" s="59"/>
      <c r="H60" s="60"/>
      <c r="I60" s="58"/>
      <c r="J60" s="60"/>
      <c r="K60" s="59"/>
      <c r="L60" s="61"/>
      <c r="M60" s="62"/>
      <c r="N60" s="62"/>
      <c r="O60" s="62"/>
      <c r="P60" s="62"/>
    </row>
    <row r="61" spans="1:16" hidden="1" x14ac:dyDescent="0.25">
      <c r="A61" s="57"/>
      <c r="B61" s="132"/>
      <c r="C61" s="133"/>
      <c r="D61" s="132"/>
      <c r="E61" s="58"/>
      <c r="F61" s="59"/>
      <c r="G61" s="59"/>
      <c r="H61" s="60"/>
      <c r="I61" s="58"/>
      <c r="J61" s="60"/>
      <c r="K61" s="59">
        <f t="shared" si="10"/>
        <v>0</v>
      </c>
      <c r="L61" s="61"/>
      <c r="M61" s="62"/>
      <c r="N61" s="62"/>
      <c r="O61" s="62"/>
      <c r="P61" s="62">
        <f t="shared" si="8"/>
        <v>0</v>
      </c>
    </row>
    <row r="62" spans="1:16" hidden="1" x14ac:dyDescent="0.25">
      <c r="A62" s="57"/>
      <c r="B62" s="132"/>
      <c r="C62" s="133"/>
      <c r="D62" s="132"/>
      <c r="E62" s="58"/>
      <c r="F62" s="59"/>
      <c r="G62" s="59"/>
      <c r="H62" s="60"/>
      <c r="I62" s="58"/>
      <c r="J62" s="60"/>
      <c r="K62" s="59">
        <f t="shared" si="10"/>
        <v>0</v>
      </c>
      <c r="L62" s="61"/>
      <c r="M62" s="62"/>
      <c r="N62" s="62"/>
      <c r="O62" s="62"/>
      <c r="P62" s="62">
        <f t="shared" si="8"/>
        <v>0</v>
      </c>
    </row>
    <row r="63" spans="1:16" x14ac:dyDescent="0.25">
      <c r="A63" s="134" t="s">
        <v>16</v>
      </c>
      <c r="B63" s="66" t="s">
        <v>16</v>
      </c>
      <c r="C63" s="430" t="s">
        <v>17</v>
      </c>
      <c r="D63" s="430"/>
      <c r="E63" s="66" t="s">
        <v>16</v>
      </c>
      <c r="F63" s="66" t="s">
        <v>16</v>
      </c>
      <c r="G63" s="66" t="s">
        <v>16</v>
      </c>
      <c r="H63" s="66" t="s">
        <v>16</v>
      </c>
      <c r="I63" s="66" t="s">
        <v>16</v>
      </c>
      <c r="J63" s="66" t="s">
        <v>16</v>
      </c>
      <c r="K63" s="66" t="s">
        <v>16</v>
      </c>
      <c r="L63" s="67">
        <f>SUM(L14:L58)</f>
        <v>1609.4889760000001</v>
      </c>
      <c r="M63" s="67">
        <f>SUM(M14:M58)</f>
        <v>8832.9473679999992</v>
      </c>
      <c r="N63" s="67">
        <f>SUM(N14:N58)</f>
        <v>13562.707218000001</v>
      </c>
      <c r="O63" s="67">
        <f>SUM(O14:O58)</f>
        <v>7857.98</v>
      </c>
      <c r="P63" s="67">
        <f>SUM(P14:P58)</f>
        <v>30253.634586</v>
      </c>
    </row>
    <row r="64" spans="1:16" x14ac:dyDescent="0.25">
      <c r="A64" s="135" t="s">
        <v>16</v>
      </c>
      <c r="B64" s="136" t="s">
        <v>16</v>
      </c>
      <c r="C64" s="442" t="s">
        <v>18</v>
      </c>
      <c r="D64" s="443"/>
      <c r="E64" s="443"/>
      <c r="F64" s="443"/>
      <c r="G64" s="443"/>
      <c r="H64" s="443"/>
      <c r="I64" s="443"/>
      <c r="J64" s="443"/>
      <c r="K64" s="443"/>
      <c r="L64" s="98"/>
      <c r="M64" s="84"/>
      <c r="N64" s="84">
        <f>N63*0.05</f>
        <v>678.13536090000014</v>
      </c>
      <c r="O64" s="137"/>
      <c r="P64" s="138">
        <f>N64</f>
        <v>678.13536090000014</v>
      </c>
    </row>
    <row r="65" spans="1:16" ht="15.75" thickBot="1" x14ac:dyDescent="0.3">
      <c r="A65" s="69" t="s">
        <v>16</v>
      </c>
      <c r="B65" s="139" t="s">
        <v>16</v>
      </c>
      <c r="C65" s="413" t="s">
        <v>19</v>
      </c>
      <c r="D65" s="414"/>
      <c r="E65" s="414"/>
      <c r="F65" s="414"/>
      <c r="G65" s="414"/>
      <c r="H65" s="414"/>
      <c r="I65" s="414"/>
      <c r="J65" s="414"/>
      <c r="K65" s="414"/>
      <c r="L65" s="71"/>
      <c r="M65" s="72">
        <f>M63+M64</f>
        <v>8832.9473679999992</v>
      </c>
      <c r="N65" s="72">
        <f>N63+N64</f>
        <v>14240.842578900001</v>
      </c>
      <c r="O65" s="72">
        <f>O63+O64</f>
        <v>7857.98</v>
      </c>
      <c r="P65" s="73">
        <f>P63+P64</f>
        <v>30931.7699469</v>
      </c>
    </row>
    <row r="66" spans="1:16" x14ac:dyDescent="0.25">
      <c r="A66" s="19" t="s">
        <v>16</v>
      </c>
      <c r="B66" s="74" t="s">
        <v>16</v>
      </c>
      <c r="C66" s="74" t="s">
        <v>16</v>
      </c>
      <c r="D66" s="415" t="s">
        <v>16</v>
      </c>
      <c r="E66" s="415"/>
      <c r="F66" s="415" t="s">
        <v>16</v>
      </c>
      <c r="G66" s="415"/>
      <c r="H66" s="415"/>
      <c r="I66" s="415" t="s">
        <v>16</v>
      </c>
      <c r="J66" s="415"/>
      <c r="K66" s="74" t="s">
        <v>16</v>
      </c>
      <c r="L66" s="74" t="s">
        <v>16</v>
      </c>
      <c r="M66" s="74" t="s">
        <v>16</v>
      </c>
      <c r="N66" s="75"/>
      <c r="O66" s="14"/>
      <c r="P66" s="14" t="s">
        <v>16</v>
      </c>
    </row>
    <row r="67" spans="1:16" x14ac:dyDescent="0.25">
      <c r="A67" s="19" t="s">
        <v>20</v>
      </c>
      <c r="B67" s="76"/>
      <c r="C67" s="77"/>
      <c r="D67" s="14"/>
      <c r="E67" s="14"/>
      <c r="F67" s="14"/>
      <c r="G67" s="19" t="s">
        <v>21</v>
      </c>
      <c r="H67" s="78"/>
      <c r="I67" s="77"/>
      <c r="J67" s="77"/>
      <c r="K67" s="76"/>
      <c r="L67" s="76"/>
      <c r="M67" s="76"/>
      <c r="N67" s="76"/>
      <c r="O67" s="76"/>
      <c r="P67" s="14"/>
    </row>
    <row r="68" spans="1:16" x14ac:dyDescent="0.25">
      <c r="A68" s="79"/>
      <c r="B68" s="80"/>
      <c r="C68" s="81" t="s">
        <v>22</v>
      </c>
      <c r="D68" s="14"/>
      <c r="E68" s="14"/>
      <c r="F68" s="14"/>
      <c r="G68" s="80"/>
      <c r="H68" s="80"/>
      <c r="I68" s="81" t="s">
        <v>22</v>
      </c>
      <c r="J68" s="80"/>
      <c r="K68" s="80"/>
      <c r="L68" s="80"/>
      <c r="M68" s="80"/>
      <c r="N68" s="80"/>
      <c r="O68" s="14"/>
      <c r="P68" s="14"/>
    </row>
    <row r="69" spans="1:16" x14ac:dyDescent="0.25">
      <c r="A69" s="429"/>
      <c r="B69" s="429"/>
      <c r="C69" s="429"/>
      <c r="D69" s="429"/>
      <c r="E69" s="429"/>
      <c r="F69" s="429"/>
      <c r="G69" s="429"/>
      <c r="H69" s="429"/>
      <c r="I69" s="429"/>
      <c r="J69" s="429"/>
      <c r="K69" s="429"/>
      <c r="L69" s="429"/>
      <c r="M69" s="429"/>
      <c r="N69" s="429"/>
      <c r="O69" s="429"/>
      <c r="P69" s="429"/>
    </row>
  </sheetData>
  <mergeCells count="17"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  <mergeCell ref="A69:P69"/>
    <mergeCell ref="C63:D63"/>
    <mergeCell ref="C64:K64"/>
    <mergeCell ref="C65:K65"/>
    <mergeCell ref="D66:E66"/>
    <mergeCell ref="F66:H66"/>
    <mergeCell ref="I66:J66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37" workbookViewId="0">
      <selection activeCell="A4" sqref="A4:A10"/>
    </sheetView>
  </sheetViews>
  <sheetFormatPr defaultRowHeight="15" x14ac:dyDescent="0.25"/>
  <cols>
    <col min="3" max="3" width="38.85546875" customWidth="1"/>
    <col min="14" max="14" width="11.85546875" customWidth="1"/>
  </cols>
  <sheetData>
    <row r="1" spans="1:16" ht="15.75" x14ac:dyDescent="0.25">
      <c r="A1" s="417" t="s">
        <v>57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6" ht="15.75" x14ac:dyDescent="0.25">
      <c r="A2" s="417" t="s">
        <v>273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x14ac:dyDescent="0.25">
      <c r="A3" s="444" t="s">
        <v>0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</row>
    <row r="4" spans="1:16" ht="15.75" x14ac:dyDescent="0.25">
      <c r="A4" s="12" t="s">
        <v>328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329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346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>
        <v>101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345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P47</f>
        <v>73013.581520000022</v>
      </c>
      <c r="O9" s="18"/>
      <c r="P9" s="14"/>
    </row>
    <row r="10" spans="1:16" ht="16.5" thickBot="1" x14ac:dyDescent="0.3">
      <c r="A10" s="19" t="s">
        <v>378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6" t="s">
        <v>71</v>
      </c>
      <c r="B11" s="438" t="s">
        <v>3</v>
      </c>
      <c r="C11" s="440" t="s">
        <v>62</v>
      </c>
      <c r="D11" s="432" t="s">
        <v>4</v>
      </c>
      <c r="E11" s="432" t="s">
        <v>5</v>
      </c>
      <c r="F11" s="432" t="s">
        <v>6</v>
      </c>
      <c r="G11" s="432"/>
      <c r="H11" s="432"/>
      <c r="I11" s="432"/>
      <c r="J11" s="432"/>
      <c r="K11" s="432"/>
      <c r="L11" s="440" t="s">
        <v>7</v>
      </c>
      <c r="M11" s="440"/>
      <c r="N11" s="440"/>
      <c r="O11" s="440"/>
      <c r="P11" s="434"/>
    </row>
    <row r="12" spans="1:16" ht="48" x14ac:dyDescent="0.25">
      <c r="A12" s="437"/>
      <c r="B12" s="439"/>
      <c r="C12" s="441"/>
      <c r="D12" s="433"/>
      <c r="E12" s="433"/>
      <c r="F12" s="370" t="s">
        <v>8</v>
      </c>
      <c r="G12" s="370" t="s">
        <v>197</v>
      </c>
      <c r="H12" s="370" t="s">
        <v>198</v>
      </c>
      <c r="I12" s="370" t="s">
        <v>199</v>
      </c>
      <c r="J12" s="370" t="s">
        <v>200</v>
      </c>
      <c r="K12" s="376" t="s">
        <v>201</v>
      </c>
      <c r="L12" s="377" t="s">
        <v>9</v>
      </c>
      <c r="M12" s="377" t="s">
        <v>198</v>
      </c>
      <c r="N12" s="377" t="s">
        <v>199</v>
      </c>
      <c r="O12" s="377" t="s">
        <v>200</v>
      </c>
      <c r="P12" s="378" t="s">
        <v>202</v>
      </c>
    </row>
    <row r="13" spans="1:16" ht="15.75" thickBot="1" x14ac:dyDescent="0.3">
      <c r="A13" s="372">
        <v>1</v>
      </c>
      <c r="B13" s="373">
        <v>2</v>
      </c>
      <c r="C13" s="373">
        <v>3</v>
      </c>
      <c r="D13" s="373">
        <v>4</v>
      </c>
      <c r="E13" s="373">
        <v>5</v>
      </c>
      <c r="F13" s="373">
        <v>6</v>
      </c>
      <c r="G13" s="373">
        <v>7</v>
      </c>
      <c r="H13" s="373">
        <v>8</v>
      </c>
      <c r="I13" s="373">
        <v>9</v>
      </c>
      <c r="J13" s="373">
        <v>10</v>
      </c>
      <c r="K13" s="379">
        <v>11</v>
      </c>
      <c r="L13" s="380">
        <v>12</v>
      </c>
      <c r="M13" s="380">
        <v>13</v>
      </c>
      <c r="N13" s="380">
        <v>14</v>
      </c>
      <c r="O13" s="380">
        <v>15</v>
      </c>
      <c r="P13" s="381">
        <v>16</v>
      </c>
    </row>
    <row r="14" spans="1:16" x14ac:dyDescent="0.25">
      <c r="A14" s="44" t="s">
        <v>10</v>
      </c>
      <c r="B14" s="44"/>
      <c r="C14" s="52" t="s">
        <v>264</v>
      </c>
      <c r="D14" s="23" t="s">
        <v>68</v>
      </c>
      <c r="E14" s="140">
        <v>15.4764</v>
      </c>
      <c r="F14" s="46">
        <v>0.5</v>
      </c>
      <c r="G14" s="46">
        <v>5.5</v>
      </c>
      <c r="H14" s="45">
        <f t="shared" ref="H14" si="0">G14*F14</f>
        <v>2.75</v>
      </c>
      <c r="I14" s="141"/>
      <c r="J14" s="45"/>
      <c r="K14" s="142">
        <f t="shared" ref="K14:K17" si="1">SUM(H14:J14)</f>
        <v>2.75</v>
      </c>
      <c r="L14" s="28">
        <f t="shared" ref="L14" si="2">E14*F14</f>
        <v>7.7382</v>
      </c>
      <c r="M14" s="28">
        <f t="shared" ref="M14" si="3">E14*H14</f>
        <v>42.560099999999998</v>
      </c>
      <c r="N14" s="45"/>
      <c r="O14" s="45"/>
      <c r="P14" s="143">
        <f t="shared" ref="P14:P17" si="4">SUM(M14:O14)</f>
        <v>42.560099999999998</v>
      </c>
    </row>
    <row r="15" spans="1:16" x14ac:dyDescent="0.25">
      <c r="A15" s="44"/>
      <c r="B15" s="44"/>
      <c r="C15" s="50" t="s">
        <v>265</v>
      </c>
      <c r="D15" s="23" t="s">
        <v>68</v>
      </c>
      <c r="E15" s="140">
        <f>E14</f>
        <v>15.4764</v>
      </c>
      <c r="F15" s="46"/>
      <c r="G15" s="46"/>
      <c r="H15" s="45"/>
      <c r="I15" s="141">
        <v>1185</v>
      </c>
      <c r="J15" s="45"/>
      <c r="K15" s="142">
        <f t="shared" si="1"/>
        <v>1185</v>
      </c>
      <c r="L15" s="28"/>
      <c r="M15" s="28"/>
      <c r="N15" s="45">
        <f>I15*E15</f>
        <v>18339.534</v>
      </c>
      <c r="O15" s="45"/>
      <c r="P15" s="143">
        <f t="shared" si="4"/>
        <v>18339.534</v>
      </c>
    </row>
    <row r="16" spans="1:16" x14ac:dyDescent="0.25">
      <c r="A16" s="44"/>
      <c r="B16" s="44"/>
      <c r="C16" s="144" t="s">
        <v>267</v>
      </c>
      <c r="D16" s="118" t="s">
        <v>65</v>
      </c>
      <c r="E16" s="145">
        <v>192</v>
      </c>
      <c r="F16" s="36"/>
      <c r="G16" s="46"/>
      <c r="H16" s="45"/>
      <c r="I16" s="141">
        <v>0.15</v>
      </c>
      <c r="J16" s="45"/>
      <c r="K16" s="142">
        <f t="shared" si="1"/>
        <v>0.15</v>
      </c>
      <c r="L16" s="28"/>
      <c r="M16" s="28"/>
      <c r="N16" s="45">
        <f>I16*E16</f>
        <v>28.799999999999997</v>
      </c>
      <c r="O16" s="45"/>
      <c r="P16" s="143">
        <f t="shared" si="4"/>
        <v>28.799999999999997</v>
      </c>
    </row>
    <row r="17" spans="1:16" x14ac:dyDescent="0.25">
      <c r="A17" s="44"/>
      <c r="B17" s="44"/>
      <c r="C17" s="125" t="s">
        <v>268</v>
      </c>
      <c r="D17" s="146" t="s">
        <v>65</v>
      </c>
      <c r="E17" s="44">
        <v>192</v>
      </c>
      <c r="F17" s="46"/>
      <c r="G17" s="46"/>
      <c r="H17" s="45"/>
      <c r="I17" s="38">
        <v>5.8999999999999997E-2</v>
      </c>
      <c r="J17" s="45"/>
      <c r="K17" s="142">
        <f t="shared" si="1"/>
        <v>5.8999999999999997E-2</v>
      </c>
      <c r="L17" s="28"/>
      <c r="M17" s="28"/>
      <c r="N17" s="45">
        <f>I17*E17</f>
        <v>11.327999999999999</v>
      </c>
      <c r="O17" s="26"/>
      <c r="P17" s="143">
        <f t="shared" si="4"/>
        <v>11.327999999999999</v>
      </c>
    </row>
    <row r="18" spans="1:16" x14ac:dyDescent="0.25">
      <c r="A18" s="20"/>
      <c r="B18" s="147"/>
      <c r="C18" s="148" t="s">
        <v>269</v>
      </c>
      <c r="D18" s="23" t="s">
        <v>65</v>
      </c>
      <c r="E18" s="149">
        <v>96</v>
      </c>
      <c r="F18" s="28"/>
      <c r="G18" s="46"/>
      <c r="H18" s="45"/>
      <c r="I18" s="45">
        <v>2.58</v>
      </c>
      <c r="J18" s="45"/>
      <c r="K18" s="150">
        <f>SUM(H18:J18)</f>
        <v>2.58</v>
      </c>
      <c r="L18" s="28"/>
      <c r="M18" s="28"/>
      <c r="N18" s="45">
        <f>I18*E18</f>
        <v>247.68</v>
      </c>
      <c r="O18" s="28"/>
      <c r="P18" s="143">
        <f t="shared" ref="P18:P20" si="5">SUM(M18:O18)</f>
        <v>247.68</v>
      </c>
    </row>
    <row r="19" spans="1:16" x14ac:dyDescent="0.25">
      <c r="A19" s="31"/>
      <c r="B19" s="151"/>
      <c r="C19" s="152" t="s">
        <v>270</v>
      </c>
      <c r="D19" s="44" t="s">
        <v>72</v>
      </c>
      <c r="E19" s="153">
        <v>8</v>
      </c>
      <c r="F19" s="25"/>
      <c r="G19" s="25"/>
      <c r="H19" s="27"/>
      <c r="I19" s="27"/>
      <c r="J19" s="27">
        <v>62</v>
      </c>
      <c r="K19" s="154">
        <f>SUM(H19:J19)</f>
        <v>62</v>
      </c>
      <c r="L19" s="47"/>
      <c r="M19" s="48"/>
      <c r="N19" s="48"/>
      <c r="O19" s="48">
        <f>J19*E19</f>
        <v>496</v>
      </c>
      <c r="P19" s="155">
        <f t="shared" si="5"/>
        <v>496</v>
      </c>
    </row>
    <row r="20" spans="1:16" x14ac:dyDescent="0.25">
      <c r="A20" s="31">
        <v>2</v>
      </c>
      <c r="B20" s="151"/>
      <c r="C20" s="156" t="s">
        <v>271</v>
      </c>
      <c r="D20" s="151" t="s">
        <v>68</v>
      </c>
      <c r="E20" s="157">
        <v>33.89</v>
      </c>
      <c r="F20" s="46">
        <v>1</v>
      </c>
      <c r="G20" s="46">
        <v>5.5</v>
      </c>
      <c r="H20" s="45">
        <f t="shared" ref="H20" si="6">G20*F20</f>
        <v>5.5</v>
      </c>
      <c r="I20" s="141"/>
      <c r="J20" s="45"/>
      <c r="K20" s="142">
        <f t="shared" ref="K20" si="7">SUM(H20:J20)</f>
        <v>5.5</v>
      </c>
      <c r="L20" s="28">
        <f t="shared" ref="L20" si="8">E20*F20</f>
        <v>33.89</v>
      </c>
      <c r="M20" s="28">
        <f t="shared" ref="M20" si="9">E20*H20</f>
        <v>186.39500000000001</v>
      </c>
      <c r="N20" s="45"/>
      <c r="O20" s="45"/>
      <c r="P20" s="143">
        <f t="shared" si="5"/>
        <v>186.39500000000001</v>
      </c>
    </row>
    <row r="21" spans="1:16" x14ac:dyDescent="0.25">
      <c r="A21" s="31"/>
      <c r="B21" s="151"/>
      <c r="C21" s="50" t="s">
        <v>272</v>
      </c>
      <c r="D21" s="23" t="s">
        <v>68</v>
      </c>
      <c r="E21" s="140">
        <v>33.884999999999998</v>
      </c>
      <c r="F21" s="46"/>
      <c r="G21" s="46"/>
      <c r="H21" s="45"/>
      <c r="I21" s="141">
        <v>1185</v>
      </c>
      <c r="J21" s="45"/>
      <c r="K21" s="142">
        <f t="shared" ref="K21:K24" si="10">SUM(H21:J21)</f>
        <v>1185</v>
      </c>
      <c r="L21" s="28"/>
      <c r="M21" s="28"/>
      <c r="N21" s="45">
        <f>I21*E21</f>
        <v>40153.724999999999</v>
      </c>
      <c r="O21" s="45"/>
      <c r="P21" s="143">
        <f t="shared" ref="P21:P26" si="11">SUM(M21:O21)</f>
        <v>40153.724999999999</v>
      </c>
    </row>
    <row r="22" spans="1:16" x14ac:dyDescent="0.25">
      <c r="A22" s="31"/>
      <c r="B22" s="151"/>
      <c r="C22" s="158" t="s">
        <v>276</v>
      </c>
      <c r="D22" s="159" t="s">
        <v>65</v>
      </c>
      <c r="E22" s="145">
        <v>624</v>
      </c>
      <c r="F22" s="36"/>
      <c r="G22" s="46"/>
      <c r="H22" s="45"/>
      <c r="I22" s="141">
        <v>0.62</v>
      </c>
      <c r="J22" s="45"/>
      <c r="K22" s="142">
        <f t="shared" si="10"/>
        <v>0.62</v>
      </c>
      <c r="L22" s="28"/>
      <c r="M22" s="28"/>
      <c r="N22" s="45"/>
      <c r="O22" s="45"/>
      <c r="P22" s="143"/>
    </row>
    <row r="23" spans="1:16" ht="15" customHeight="1" x14ac:dyDescent="0.25">
      <c r="A23" s="31"/>
      <c r="B23" s="151"/>
      <c r="C23" s="144" t="s">
        <v>266</v>
      </c>
      <c r="D23" s="118" t="s">
        <v>65</v>
      </c>
      <c r="E23" s="145">
        <v>624</v>
      </c>
      <c r="F23" s="36"/>
      <c r="G23" s="46"/>
      <c r="H23" s="45"/>
      <c r="I23" s="141">
        <v>0.14000000000000001</v>
      </c>
      <c r="J23" s="45"/>
      <c r="K23" s="142">
        <f t="shared" si="10"/>
        <v>0.14000000000000001</v>
      </c>
      <c r="L23" s="28"/>
      <c r="M23" s="28"/>
      <c r="N23" s="45">
        <f>I23*E23</f>
        <v>87.360000000000014</v>
      </c>
      <c r="O23" s="45"/>
      <c r="P23" s="143">
        <f t="shared" si="11"/>
        <v>87.360000000000014</v>
      </c>
    </row>
    <row r="24" spans="1:16" x14ac:dyDescent="0.25">
      <c r="A24" s="31"/>
      <c r="B24" s="49"/>
      <c r="C24" s="125" t="s">
        <v>268</v>
      </c>
      <c r="D24" s="146" t="s">
        <v>65</v>
      </c>
      <c r="E24" s="44">
        <v>624</v>
      </c>
      <c r="F24" s="46"/>
      <c r="G24" s="46"/>
      <c r="H24" s="45"/>
      <c r="I24" s="38">
        <v>4.9000000000000002E-2</v>
      </c>
      <c r="J24" s="45"/>
      <c r="K24" s="142">
        <f t="shared" si="10"/>
        <v>4.9000000000000002E-2</v>
      </c>
      <c r="L24" s="28"/>
      <c r="M24" s="28"/>
      <c r="N24" s="45">
        <f>I24*E24</f>
        <v>30.576000000000001</v>
      </c>
      <c r="O24" s="26"/>
      <c r="P24" s="143">
        <f t="shared" si="11"/>
        <v>30.576000000000001</v>
      </c>
    </row>
    <row r="25" spans="1:16" ht="15" customHeight="1" x14ac:dyDescent="0.25">
      <c r="A25" s="31"/>
      <c r="B25" s="49"/>
      <c r="C25" s="152" t="s">
        <v>270</v>
      </c>
      <c r="D25" s="44" t="s">
        <v>72</v>
      </c>
      <c r="E25" s="153">
        <v>15</v>
      </c>
      <c r="F25" s="25"/>
      <c r="G25" s="25"/>
      <c r="H25" s="160"/>
      <c r="I25" s="45"/>
      <c r="J25" s="24">
        <v>62</v>
      </c>
      <c r="K25" s="154">
        <f>SUM(H25:J25)</f>
        <v>62</v>
      </c>
      <c r="L25" s="47"/>
      <c r="M25" s="48"/>
      <c r="N25" s="48"/>
      <c r="O25" s="48">
        <f>J25*E25</f>
        <v>930</v>
      </c>
      <c r="P25" s="155">
        <f t="shared" si="11"/>
        <v>930</v>
      </c>
    </row>
    <row r="26" spans="1:16" x14ac:dyDescent="0.25">
      <c r="A26" s="31">
        <v>3</v>
      </c>
      <c r="B26" s="151"/>
      <c r="C26" s="156" t="s">
        <v>274</v>
      </c>
      <c r="D26" s="44" t="s">
        <v>331</v>
      </c>
      <c r="E26" s="157">
        <v>28.4</v>
      </c>
      <c r="F26" s="46">
        <v>3</v>
      </c>
      <c r="G26" s="46">
        <v>5.5</v>
      </c>
      <c r="H26" s="45">
        <f t="shared" ref="H26" si="12">G26*F26</f>
        <v>16.5</v>
      </c>
      <c r="I26" s="141"/>
      <c r="J26" s="45"/>
      <c r="K26" s="142">
        <f t="shared" ref="K26" si="13">SUM(H26:J26)</f>
        <v>16.5</v>
      </c>
      <c r="L26" s="28">
        <f t="shared" ref="L26" si="14">E26*F26</f>
        <v>85.199999999999989</v>
      </c>
      <c r="M26" s="28">
        <f t="shared" ref="M26" si="15">E26*H26</f>
        <v>468.59999999999997</v>
      </c>
      <c r="N26" s="45"/>
      <c r="O26" s="45"/>
      <c r="P26" s="143">
        <f t="shared" si="11"/>
        <v>468.59999999999997</v>
      </c>
    </row>
    <row r="27" spans="1:16" x14ac:dyDescent="0.25">
      <c r="A27" s="31"/>
      <c r="B27" s="151"/>
      <c r="C27" s="50" t="s">
        <v>275</v>
      </c>
      <c r="D27" s="44" t="s">
        <v>331</v>
      </c>
      <c r="E27" s="140">
        <v>28.396000000000001</v>
      </c>
      <c r="F27" s="46"/>
      <c r="G27" s="46"/>
      <c r="H27" s="45"/>
      <c r="I27" s="141">
        <v>130</v>
      </c>
      <c r="J27" s="45"/>
      <c r="K27" s="142">
        <f t="shared" ref="K27:K28" si="16">SUM(H27:J27)</f>
        <v>130</v>
      </c>
      <c r="L27" s="28"/>
      <c r="M27" s="28"/>
      <c r="N27" s="45">
        <f>I27*E27</f>
        <v>3691.48</v>
      </c>
      <c r="O27" s="45"/>
      <c r="P27" s="143">
        <f t="shared" ref="P27" si="17">SUM(M27:O27)</f>
        <v>3691.48</v>
      </c>
    </row>
    <row r="28" spans="1:16" x14ac:dyDescent="0.25">
      <c r="A28" s="31"/>
      <c r="B28" s="151"/>
      <c r="C28" s="144" t="s">
        <v>277</v>
      </c>
      <c r="D28" s="118" t="s">
        <v>65</v>
      </c>
      <c r="E28" s="145">
        <v>1432</v>
      </c>
      <c r="F28" s="36"/>
      <c r="G28" s="46"/>
      <c r="H28" s="45"/>
      <c r="I28" s="141">
        <v>0.18</v>
      </c>
      <c r="J28" s="45"/>
      <c r="K28" s="142">
        <f t="shared" si="16"/>
        <v>0.18</v>
      </c>
      <c r="L28" s="28"/>
      <c r="M28" s="28"/>
      <c r="N28" s="45">
        <f>I28*E28</f>
        <v>257.76</v>
      </c>
      <c r="O28" s="45"/>
      <c r="P28" s="143">
        <f t="shared" ref="P28:P30" si="18">SUM(M28:O28)</f>
        <v>257.76</v>
      </c>
    </row>
    <row r="29" spans="1:16" x14ac:dyDescent="0.25">
      <c r="A29" s="31"/>
      <c r="B29" s="49"/>
      <c r="C29" s="152" t="s">
        <v>270</v>
      </c>
      <c r="D29" s="44" t="s">
        <v>72</v>
      </c>
      <c r="E29" s="157">
        <v>10</v>
      </c>
      <c r="F29" s="46"/>
      <c r="G29" s="161"/>
      <c r="H29" s="160"/>
      <c r="I29" s="45"/>
      <c r="J29" s="24">
        <v>62</v>
      </c>
      <c r="K29" s="154">
        <f>SUM(H29:J29)</f>
        <v>62</v>
      </c>
      <c r="L29" s="47"/>
      <c r="M29" s="48"/>
      <c r="N29" s="48"/>
      <c r="O29" s="48">
        <f>J29*E29</f>
        <v>620</v>
      </c>
      <c r="P29" s="155">
        <f t="shared" si="18"/>
        <v>620</v>
      </c>
    </row>
    <row r="30" spans="1:16" x14ac:dyDescent="0.25">
      <c r="A30" s="31">
        <v>4</v>
      </c>
      <c r="B30" s="151"/>
      <c r="C30" s="156" t="s">
        <v>278</v>
      </c>
      <c r="D30" s="44" t="s">
        <v>68</v>
      </c>
      <c r="E30" s="157">
        <v>1.5316399999999999</v>
      </c>
      <c r="F30" s="46">
        <v>1</v>
      </c>
      <c r="G30" s="46">
        <v>5.5</v>
      </c>
      <c r="H30" s="45">
        <f t="shared" ref="H30" si="19">G30*F30</f>
        <v>5.5</v>
      </c>
      <c r="I30" s="141"/>
      <c r="J30" s="45"/>
      <c r="K30" s="142">
        <f t="shared" ref="K30" si="20">SUM(H30:J30)</f>
        <v>5.5</v>
      </c>
      <c r="L30" s="28">
        <f t="shared" ref="L30" si="21">E30*F30</f>
        <v>1.5316399999999999</v>
      </c>
      <c r="M30" s="28">
        <f t="shared" ref="M30" si="22">E30*H30</f>
        <v>8.4240199999999987</v>
      </c>
      <c r="N30" s="45"/>
      <c r="O30" s="45"/>
      <c r="P30" s="143">
        <f t="shared" si="18"/>
        <v>8.4240199999999987</v>
      </c>
    </row>
    <row r="31" spans="1:16" x14ac:dyDescent="0.25">
      <c r="A31" s="31"/>
      <c r="B31" s="151"/>
      <c r="C31" s="50" t="s">
        <v>279</v>
      </c>
      <c r="D31" s="44" t="s">
        <v>68</v>
      </c>
      <c r="E31" s="140">
        <v>1.53</v>
      </c>
      <c r="F31" s="46"/>
      <c r="G31" s="46"/>
      <c r="H31" s="45"/>
      <c r="I31" s="141">
        <v>1185</v>
      </c>
      <c r="J31" s="45"/>
      <c r="K31" s="142">
        <f t="shared" ref="K31:K33" si="23">SUM(H31:J31)</f>
        <v>1185</v>
      </c>
      <c r="L31" s="28"/>
      <c r="M31" s="28"/>
      <c r="N31" s="45">
        <f>I31*E31</f>
        <v>1813.05</v>
      </c>
      <c r="O31" s="45"/>
      <c r="P31" s="143">
        <f t="shared" ref="P31:P35" si="24">SUM(M31:O31)</f>
        <v>1813.05</v>
      </c>
    </row>
    <row r="32" spans="1:16" x14ac:dyDescent="0.25">
      <c r="A32" s="31"/>
      <c r="B32" s="151"/>
      <c r="C32" s="144" t="s">
        <v>283</v>
      </c>
      <c r="D32" s="118" t="s">
        <v>65</v>
      </c>
      <c r="E32" s="145">
        <v>92</v>
      </c>
      <c r="F32" s="36"/>
      <c r="G32" s="46"/>
      <c r="H32" s="45"/>
      <c r="I32" s="141">
        <v>0.51</v>
      </c>
      <c r="J32" s="45"/>
      <c r="K32" s="142">
        <f t="shared" si="23"/>
        <v>0.51</v>
      </c>
      <c r="L32" s="28"/>
      <c r="M32" s="28"/>
      <c r="N32" s="45">
        <f>I32*E32</f>
        <v>46.92</v>
      </c>
      <c r="O32" s="45"/>
      <c r="P32" s="143">
        <f t="shared" si="24"/>
        <v>46.92</v>
      </c>
    </row>
    <row r="33" spans="1:16" x14ac:dyDescent="0.25">
      <c r="A33" s="44"/>
      <c r="B33" s="44"/>
      <c r="C33" s="128" t="s">
        <v>286</v>
      </c>
      <c r="D33" s="44" t="s">
        <v>65</v>
      </c>
      <c r="E33" s="45">
        <v>92</v>
      </c>
      <c r="F33" s="46"/>
      <c r="G33" s="46"/>
      <c r="H33" s="45"/>
      <c r="I33" s="45">
        <v>0.12</v>
      </c>
      <c r="J33" s="45"/>
      <c r="K33" s="46">
        <f t="shared" si="23"/>
        <v>0.12</v>
      </c>
      <c r="L33" s="46"/>
      <c r="M33" s="46"/>
      <c r="N33" s="45">
        <f>I33*E33</f>
        <v>11.04</v>
      </c>
      <c r="O33" s="45"/>
      <c r="P33" s="46">
        <f t="shared" si="24"/>
        <v>11.04</v>
      </c>
    </row>
    <row r="34" spans="1:16" x14ac:dyDescent="0.25">
      <c r="A34" s="31"/>
      <c r="B34" s="49"/>
      <c r="C34" s="152" t="s">
        <v>268</v>
      </c>
      <c r="D34" s="44" t="s">
        <v>65</v>
      </c>
      <c r="E34" s="157">
        <v>92</v>
      </c>
      <c r="F34" s="46"/>
      <c r="G34" s="161"/>
      <c r="H34" s="160"/>
      <c r="I34" s="45">
        <v>0.05</v>
      </c>
      <c r="J34" s="24"/>
      <c r="K34" s="154">
        <f>SUM(H34:J34)</f>
        <v>0.05</v>
      </c>
      <c r="L34" s="47"/>
      <c r="M34" s="48"/>
      <c r="N34" s="45">
        <f>I34*E34</f>
        <v>4.6000000000000005</v>
      </c>
      <c r="O34" s="48"/>
      <c r="P34" s="155">
        <f t="shared" si="24"/>
        <v>4.6000000000000005</v>
      </c>
    </row>
    <row r="35" spans="1:16" x14ac:dyDescent="0.25">
      <c r="A35" s="31">
        <v>5</v>
      </c>
      <c r="B35" s="151"/>
      <c r="C35" s="156" t="s">
        <v>336</v>
      </c>
      <c r="D35" s="44" t="s">
        <v>68</v>
      </c>
      <c r="E35" s="157">
        <v>0.45</v>
      </c>
      <c r="F35" s="46">
        <v>1</v>
      </c>
      <c r="G35" s="46">
        <v>5.5</v>
      </c>
      <c r="H35" s="45">
        <f t="shared" ref="H35" si="25">G35*F35</f>
        <v>5.5</v>
      </c>
      <c r="I35" s="141"/>
      <c r="J35" s="45"/>
      <c r="K35" s="142">
        <f t="shared" ref="K35" si="26">SUM(H35:J35)</f>
        <v>5.5</v>
      </c>
      <c r="L35" s="28">
        <f t="shared" ref="L35" si="27">E35*F35</f>
        <v>0.45</v>
      </c>
      <c r="M35" s="28">
        <f t="shared" ref="M35" si="28">E35*H35</f>
        <v>2.4750000000000001</v>
      </c>
      <c r="N35" s="45"/>
      <c r="O35" s="45"/>
      <c r="P35" s="143">
        <f t="shared" si="24"/>
        <v>2.4750000000000001</v>
      </c>
    </row>
    <row r="36" spans="1:16" x14ac:dyDescent="0.25">
      <c r="A36" s="31"/>
      <c r="B36" s="151"/>
      <c r="C36" s="50" t="s">
        <v>280</v>
      </c>
      <c r="D36" s="44" t="s">
        <v>68</v>
      </c>
      <c r="E36" s="140">
        <v>0.45</v>
      </c>
      <c r="F36" s="46"/>
      <c r="G36" s="46"/>
      <c r="H36" s="45"/>
      <c r="I36" s="141">
        <v>1185</v>
      </c>
      <c r="J36" s="45"/>
      <c r="K36" s="142">
        <f t="shared" ref="K36:K37" si="29">SUM(H36:J36)</f>
        <v>1185</v>
      </c>
      <c r="L36" s="28"/>
      <c r="M36" s="28"/>
      <c r="N36" s="45">
        <f>I36*E36</f>
        <v>533.25</v>
      </c>
      <c r="O36" s="45"/>
      <c r="P36" s="143">
        <f t="shared" ref="P36:P39" si="30">SUM(M36:O36)</f>
        <v>533.25</v>
      </c>
    </row>
    <row r="37" spans="1:16" x14ac:dyDescent="0.25">
      <c r="A37" s="31"/>
      <c r="B37" s="151"/>
      <c r="C37" s="144" t="s">
        <v>281</v>
      </c>
      <c r="D37" s="118" t="s">
        <v>65</v>
      </c>
      <c r="E37" s="145">
        <v>48</v>
      </c>
      <c r="F37" s="36"/>
      <c r="G37" s="46"/>
      <c r="H37" s="45"/>
      <c r="I37" s="141">
        <v>0.57999999999999996</v>
      </c>
      <c r="J37" s="45"/>
      <c r="K37" s="142">
        <f t="shared" si="29"/>
        <v>0.57999999999999996</v>
      </c>
      <c r="L37" s="28"/>
      <c r="M37" s="28"/>
      <c r="N37" s="45">
        <f>I37*E37</f>
        <v>27.839999999999996</v>
      </c>
      <c r="O37" s="45"/>
      <c r="P37" s="143">
        <f t="shared" si="30"/>
        <v>27.839999999999996</v>
      </c>
    </row>
    <row r="38" spans="1:16" x14ac:dyDescent="0.25">
      <c r="A38" s="31"/>
      <c r="B38" s="49"/>
      <c r="C38" s="152" t="s">
        <v>268</v>
      </c>
      <c r="D38" s="44" t="s">
        <v>65</v>
      </c>
      <c r="E38" s="157">
        <v>48</v>
      </c>
      <c r="F38" s="46"/>
      <c r="G38" s="161"/>
      <c r="H38" s="160"/>
      <c r="I38" s="45">
        <v>0.05</v>
      </c>
      <c r="J38" s="24"/>
      <c r="K38" s="154">
        <f>SUM(H38:J38)</f>
        <v>0.05</v>
      </c>
      <c r="L38" s="47"/>
      <c r="M38" s="48"/>
      <c r="N38" s="45">
        <f>I38*E38</f>
        <v>2.4000000000000004</v>
      </c>
      <c r="O38" s="48"/>
      <c r="P38" s="155">
        <f t="shared" si="30"/>
        <v>2.4000000000000004</v>
      </c>
    </row>
    <row r="39" spans="1:16" x14ac:dyDescent="0.25">
      <c r="A39" s="31">
        <v>6</v>
      </c>
      <c r="B39" s="151"/>
      <c r="C39" s="156" t="s">
        <v>282</v>
      </c>
      <c r="D39" s="44" t="s">
        <v>68</v>
      </c>
      <c r="E39" s="157">
        <v>1.2669999999999999</v>
      </c>
      <c r="F39" s="46">
        <v>1</v>
      </c>
      <c r="G39" s="46">
        <v>5.5</v>
      </c>
      <c r="H39" s="45">
        <f t="shared" ref="H39" si="31">G39*F39</f>
        <v>5.5</v>
      </c>
      <c r="I39" s="141"/>
      <c r="J39" s="45"/>
      <c r="K39" s="142">
        <f t="shared" ref="K39" si="32">SUM(H39:J39)</f>
        <v>5.5</v>
      </c>
      <c r="L39" s="28">
        <f t="shared" ref="L39" si="33">E39*F39</f>
        <v>1.2669999999999999</v>
      </c>
      <c r="M39" s="28">
        <f t="shared" ref="M39" si="34">E39*H39</f>
        <v>6.9684999999999997</v>
      </c>
      <c r="N39" s="45"/>
      <c r="O39" s="45"/>
      <c r="P39" s="143">
        <f t="shared" si="30"/>
        <v>6.9684999999999997</v>
      </c>
    </row>
    <row r="40" spans="1:16" x14ac:dyDescent="0.25">
      <c r="A40" s="31"/>
      <c r="B40" s="151"/>
      <c r="C40" s="50" t="s">
        <v>284</v>
      </c>
      <c r="D40" s="44" t="s">
        <v>68</v>
      </c>
      <c r="E40" s="140">
        <v>1.2669999999999999</v>
      </c>
      <c r="F40" s="46"/>
      <c r="G40" s="46"/>
      <c r="H40" s="45"/>
      <c r="I40" s="141">
        <v>1185</v>
      </c>
      <c r="J40" s="45"/>
      <c r="K40" s="142">
        <f t="shared" ref="K40:K41" si="35">SUM(H40:J40)</f>
        <v>1185</v>
      </c>
      <c r="L40" s="28"/>
      <c r="M40" s="28"/>
      <c r="N40" s="45">
        <f>I40*E40</f>
        <v>1501.395</v>
      </c>
      <c r="O40" s="45"/>
      <c r="P40" s="143">
        <f t="shared" ref="P40:P44" si="36">SUM(M40:O40)</f>
        <v>1501.395</v>
      </c>
    </row>
    <row r="41" spans="1:16" x14ac:dyDescent="0.25">
      <c r="A41" s="31"/>
      <c r="B41" s="151"/>
      <c r="C41" s="144" t="s">
        <v>283</v>
      </c>
      <c r="D41" s="118" t="s">
        <v>65</v>
      </c>
      <c r="E41" s="145">
        <v>24</v>
      </c>
      <c r="F41" s="36"/>
      <c r="G41" s="46"/>
      <c r="H41" s="45"/>
      <c r="I41" s="141">
        <v>0.51</v>
      </c>
      <c r="J41" s="45"/>
      <c r="K41" s="142">
        <f t="shared" si="35"/>
        <v>0.51</v>
      </c>
      <c r="L41" s="28"/>
      <c r="M41" s="28"/>
      <c r="N41" s="45">
        <f>I41*E41</f>
        <v>12.24</v>
      </c>
      <c r="O41" s="45"/>
      <c r="P41" s="143">
        <f t="shared" si="36"/>
        <v>12.24</v>
      </c>
    </row>
    <row r="42" spans="1:16" x14ac:dyDescent="0.25">
      <c r="A42" s="162"/>
      <c r="B42" s="163"/>
      <c r="C42" s="144" t="s">
        <v>268</v>
      </c>
      <c r="D42" s="164" t="s">
        <v>65</v>
      </c>
      <c r="E42" s="165">
        <v>72</v>
      </c>
      <c r="F42" s="36"/>
      <c r="G42" s="161"/>
      <c r="H42" s="160"/>
      <c r="I42" s="35">
        <v>0.05</v>
      </c>
      <c r="J42" s="24"/>
      <c r="K42" s="166">
        <f>SUM(H42:J42)</f>
        <v>0.05</v>
      </c>
      <c r="L42" s="39"/>
      <c r="M42" s="40"/>
      <c r="N42" s="35">
        <f>I42*E42</f>
        <v>3.6</v>
      </c>
      <c r="O42" s="40"/>
      <c r="P42" s="41">
        <f t="shared" si="36"/>
        <v>3.6</v>
      </c>
    </row>
    <row r="43" spans="1:16" x14ac:dyDescent="0.25">
      <c r="A43" s="44"/>
      <c r="B43" s="44"/>
      <c r="C43" s="128" t="s">
        <v>286</v>
      </c>
      <c r="D43" s="44" t="s">
        <v>65</v>
      </c>
      <c r="E43" s="45">
        <v>48</v>
      </c>
      <c r="F43" s="46"/>
      <c r="G43" s="46"/>
      <c r="H43" s="45"/>
      <c r="I43" s="45">
        <v>0.12</v>
      </c>
      <c r="J43" s="45"/>
      <c r="K43" s="46">
        <f t="shared" ref="K43" si="37">SUM(H43:J43)</f>
        <v>0.12</v>
      </c>
      <c r="L43" s="46"/>
      <c r="M43" s="46"/>
      <c r="N43" s="45">
        <f>I43*E43</f>
        <v>5.76</v>
      </c>
      <c r="O43" s="45"/>
      <c r="P43" s="46">
        <f t="shared" si="36"/>
        <v>5.76</v>
      </c>
    </row>
    <row r="44" spans="1:16" x14ac:dyDescent="0.25">
      <c r="A44" s="44"/>
      <c r="B44" s="44"/>
      <c r="C44" s="128" t="s">
        <v>285</v>
      </c>
      <c r="D44" s="44" t="s">
        <v>65</v>
      </c>
      <c r="E44" s="45">
        <v>48</v>
      </c>
      <c r="F44" s="46"/>
      <c r="G44" s="46"/>
      <c r="H44" s="45"/>
      <c r="I44" s="45">
        <v>2.0099999999999998</v>
      </c>
      <c r="J44" s="45"/>
      <c r="K44" s="46">
        <f>SUM(H44:J44)</f>
        <v>2.0099999999999998</v>
      </c>
      <c r="L44" s="46"/>
      <c r="M44" s="46"/>
      <c r="N44" s="45">
        <f>I44*E44</f>
        <v>96.47999999999999</v>
      </c>
      <c r="O44" s="46"/>
      <c r="P44" s="46">
        <f t="shared" si="36"/>
        <v>96.47999999999999</v>
      </c>
    </row>
    <row r="45" spans="1:16" x14ac:dyDescent="0.25">
      <c r="A45" s="135" t="s">
        <v>16</v>
      </c>
      <c r="B45" s="167" t="s">
        <v>16</v>
      </c>
      <c r="C45" s="445" t="s">
        <v>17</v>
      </c>
      <c r="D45" s="445"/>
      <c r="E45" s="104" t="s">
        <v>16</v>
      </c>
      <c r="F45" s="104" t="s">
        <v>16</v>
      </c>
      <c r="G45" s="104" t="s">
        <v>16</v>
      </c>
      <c r="H45" s="104" t="s">
        <v>16</v>
      </c>
      <c r="I45" s="104" t="s">
        <v>16</v>
      </c>
      <c r="J45" s="104" t="s">
        <v>16</v>
      </c>
      <c r="K45" s="168" t="s">
        <v>16</v>
      </c>
      <c r="L45" s="169">
        <f>SUM(L14:L42)</f>
        <v>130.07683999999998</v>
      </c>
      <c r="M45" s="169">
        <f>SUM(M14:M42)</f>
        <v>715.42262000000005</v>
      </c>
      <c r="N45" s="169">
        <f>SUM(N14:N44)</f>
        <v>66906.817999999999</v>
      </c>
      <c r="O45" s="169">
        <f>SUM(O14:O42)</f>
        <v>2046</v>
      </c>
      <c r="P45" s="170">
        <f>SUM(P14:P44)</f>
        <v>69668.240620000026</v>
      </c>
    </row>
    <row r="46" spans="1:16" x14ac:dyDescent="0.25">
      <c r="A46" s="65" t="s">
        <v>16</v>
      </c>
      <c r="B46" s="56" t="s">
        <v>16</v>
      </c>
      <c r="C46" s="411" t="s">
        <v>18</v>
      </c>
      <c r="D46" s="412"/>
      <c r="E46" s="412"/>
      <c r="F46" s="412"/>
      <c r="G46" s="412"/>
      <c r="H46" s="412"/>
      <c r="I46" s="412"/>
      <c r="J46" s="412"/>
      <c r="K46" s="412"/>
      <c r="L46" s="98"/>
      <c r="M46" s="84"/>
      <c r="N46" s="84">
        <f>N45*0.05</f>
        <v>3345.3409000000001</v>
      </c>
      <c r="O46" s="137"/>
      <c r="P46" s="171">
        <f>N46</f>
        <v>3345.3409000000001</v>
      </c>
    </row>
    <row r="47" spans="1:16" ht="15.75" thickBot="1" x14ac:dyDescent="0.3">
      <c r="A47" s="69" t="s">
        <v>16</v>
      </c>
      <c r="B47" s="70" t="s">
        <v>16</v>
      </c>
      <c r="C47" s="413" t="s">
        <v>19</v>
      </c>
      <c r="D47" s="414"/>
      <c r="E47" s="414"/>
      <c r="F47" s="414"/>
      <c r="G47" s="414"/>
      <c r="H47" s="414"/>
      <c r="I47" s="414"/>
      <c r="J47" s="414"/>
      <c r="K47" s="414"/>
      <c r="L47" s="71"/>
      <c r="M47" s="72">
        <f>M45+M46</f>
        <v>715.42262000000005</v>
      </c>
      <c r="N47" s="72">
        <f>N45+N46</f>
        <v>70252.158899999995</v>
      </c>
      <c r="O47" s="72">
        <f>O45+O46</f>
        <v>2046</v>
      </c>
      <c r="P47" s="73">
        <f>P45+P46</f>
        <v>73013.581520000022</v>
      </c>
    </row>
    <row r="48" spans="1:16" x14ac:dyDescent="0.25">
      <c r="A48" s="19" t="s">
        <v>16</v>
      </c>
      <c r="B48" s="74" t="s">
        <v>16</v>
      </c>
      <c r="C48" s="74" t="s">
        <v>16</v>
      </c>
      <c r="D48" s="415" t="s">
        <v>16</v>
      </c>
      <c r="E48" s="415"/>
      <c r="F48" s="415" t="s">
        <v>16</v>
      </c>
      <c r="G48" s="415"/>
      <c r="H48" s="415"/>
      <c r="I48" s="415" t="s">
        <v>16</v>
      </c>
      <c r="J48" s="415"/>
      <c r="K48" s="74" t="s">
        <v>16</v>
      </c>
      <c r="L48" s="74" t="s">
        <v>16</v>
      </c>
      <c r="M48" s="74" t="s">
        <v>16</v>
      </c>
      <c r="N48" s="75"/>
      <c r="O48" s="14"/>
      <c r="P48" s="14" t="s">
        <v>16</v>
      </c>
    </row>
    <row r="49" spans="1:16" x14ac:dyDescent="0.25">
      <c r="A49" s="19" t="s">
        <v>20</v>
      </c>
      <c r="B49" s="76"/>
      <c r="C49" s="77"/>
      <c r="D49" s="14"/>
      <c r="E49" s="14"/>
      <c r="F49" s="14"/>
      <c r="G49" s="19" t="s">
        <v>21</v>
      </c>
      <c r="H49" s="78"/>
      <c r="I49" s="77"/>
      <c r="J49" s="77"/>
      <c r="K49" s="76"/>
      <c r="L49" s="76"/>
      <c r="M49" s="76"/>
      <c r="N49" s="76"/>
      <c r="O49" s="76"/>
      <c r="P49" s="14"/>
    </row>
    <row r="50" spans="1:16" x14ac:dyDescent="0.25">
      <c r="A50" s="79"/>
      <c r="B50" s="80"/>
      <c r="C50" s="81" t="s">
        <v>22</v>
      </c>
      <c r="D50" s="14"/>
      <c r="E50" s="14"/>
      <c r="F50" s="14"/>
      <c r="G50" s="80"/>
      <c r="H50" s="80"/>
      <c r="I50" s="81" t="s">
        <v>22</v>
      </c>
      <c r="J50" s="80"/>
      <c r="K50" s="80"/>
      <c r="L50" s="80"/>
      <c r="M50" s="80"/>
      <c r="N50" s="80"/>
      <c r="O50" s="14"/>
      <c r="P50" s="14"/>
    </row>
  </sheetData>
  <mergeCells count="16">
    <mergeCell ref="C45:D45"/>
    <mergeCell ref="C46:K46"/>
    <mergeCell ref="C47:K47"/>
    <mergeCell ref="D48:E48"/>
    <mergeCell ref="F48:H48"/>
    <mergeCell ref="I48:J48"/>
    <mergeCell ref="A1:P1"/>
    <mergeCell ref="A2:P2"/>
    <mergeCell ref="D11:D12"/>
    <mergeCell ref="E11:E12"/>
    <mergeCell ref="F11:K11"/>
    <mergeCell ref="L11:P11"/>
    <mergeCell ref="A3:P3"/>
    <mergeCell ref="C11:C12"/>
    <mergeCell ref="B11:B12"/>
    <mergeCell ref="A11:A12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75"/>
  <sheetViews>
    <sheetView workbookViewId="0">
      <selection activeCell="E8" sqref="E8"/>
    </sheetView>
  </sheetViews>
  <sheetFormatPr defaultRowHeight="15" x14ac:dyDescent="0.25"/>
  <cols>
    <col min="3" max="3" width="38.85546875" customWidth="1"/>
    <col min="14" max="14" width="11.5703125" customWidth="1"/>
    <col min="16" max="16" width="11.42578125" customWidth="1"/>
  </cols>
  <sheetData>
    <row r="1" spans="1:16" ht="15.75" x14ac:dyDescent="0.25">
      <c r="A1" s="417" t="s">
        <v>56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6" ht="15.75" x14ac:dyDescent="0.25">
      <c r="A2" s="417" t="s">
        <v>37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x14ac:dyDescent="0.25">
      <c r="A3" s="435" t="s">
        <v>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6" ht="15.75" x14ac:dyDescent="0.25">
      <c r="A4" s="12" t="s">
        <v>328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329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346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345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P54</f>
        <v>28272.869064999995</v>
      </c>
      <c r="O9" s="18"/>
      <c r="P9" s="14"/>
    </row>
    <row r="10" spans="1:16" ht="16.5" thickBot="1" x14ac:dyDescent="0.3">
      <c r="A10" s="19" t="s">
        <v>378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6" t="s">
        <v>71</v>
      </c>
      <c r="B11" s="438" t="s">
        <v>3</v>
      </c>
      <c r="C11" s="440" t="s">
        <v>62</v>
      </c>
      <c r="D11" s="432" t="s">
        <v>4</v>
      </c>
      <c r="E11" s="432" t="s">
        <v>5</v>
      </c>
      <c r="F11" s="432" t="s">
        <v>6</v>
      </c>
      <c r="G11" s="432"/>
      <c r="H11" s="432"/>
      <c r="I11" s="432"/>
      <c r="J11" s="432"/>
      <c r="K11" s="432"/>
      <c r="L11" s="432" t="s">
        <v>7</v>
      </c>
      <c r="M11" s="432"/>
      <c r="N11" s="432"/>
      <c r="O11" s="432"/>
      <c r="P11" s="434"/>
    </row>
    <row r="12" spans="1:16" ht="48" x14ac:dyDescent="0.25">
      <c r="A12" s="437"/>
      <c r="B12" s="439"/>
      <c r="C12" s="441"/>
      <c r="D12" s="433"/>
      <c r="E12" s="433"/>
      <c r="F12" s="370" t="s">
        <v>8</v>
      </c>
      <c r="G12" s="370" t="s">
        <v>197</v>
      </c>
      <c r="H12" s="370" t="s">
        <v>198</v>
      </c>
      <c r="I12" s="370" t="s">
        <v>199</v>
      </c>
      <c r="J12" s="370" t="s">
        <v>200</v>
      </c>
      <c r="K12" s="370" t="s">
        <v>201</v>
      </c>
      <c r="L12" s="370" t="s">
        <v>9</v>
      </c>
      <c r="M12" s="370" t="s">
        <v>198</v>
      </c>
      <c r="N12" s="370" t="s">
        <v>199</v>
      </c>
      <c r="O12" s="370" t="s">
        <v>200</v>
      </c>
      <c r="P12" s="371" t="s">
        <v>202</v>
      </c>
    </row>
    <row r="13" spans="1:16" ht="15.75" thickBot="1" x14ac:dyDescent="0.3">
      <c r="A13" s="372">
        <v>1</v>
      </c>
      <c r="B13" s="373">
        <v>2</v>
      </c>
      <c r="C13" s="373">
        <v>3</v>
      </c>
      <c r="D13" s="373">
        <v>4</v>
      </c>
      <c r="E13" s="373">
        <v>5</v>
      </c>
      <c r="F13" s="373">
        <v>6</v>
      </c>
      <c r="G13" s="373">
        <v>7</v>
      </c>
      <c r="H13" s="373">
        <v>8</v>
      </c>
      <c r="I13" s="373">
        <v>9</v>
      </c>
      <c r="J13" s="373">
        <v>10</v>
      </c>
      <c r="K13" s="373">
        <v>11</v>
      </c>
      <c r="L13" s="373">
        <v>12</v>
      </c>
      <c r="M13" s="373">
        <v>13</v>
      </c>
      <c r="N13" s="373">
        <v>14</v>
      </c>
      <c r="O13" s="373">
        <v>15</v>
      </c>
      <c r="P13" s="375">
        <v>16</v>
      </c>
    </row>
    <row r="14" spans="1:16" ht="15.75" x14ac:dyDescent="0.25">
      <c r="A14" s="172" t="s">
        <v>10</v>
      </c>
      <c r="B14" s="173" t="s">
        <v>157</v>
      </c>
      <c r="C14" s="174" t="s">
        <v>338</v>
      </c>
      <c r="D14" s="173" t="s">
        <v>332</v>
      </c>
      <c r="E14" s="175">
        <v>60.6</v>
      </c>
      <c r="F14" s="176">
        <v>2.7</v>
      </c>
      <c r="G14" s="176">
        <v>5.5</v>
      </c>
      <c r="H14" s="177">
        <f t="shared" ref="H14:H35" si="0">G14*F14</f>
        <v>14.850000000000001</v>
      </c>
      <c r="I14" s="177"/>
      <c r="J14" s="177"/>
      <c r="K14" s="178">
        <f>SUM(H14:J14)</f>
        <v>14.850000000000001</v>
      </c>
      <c r="L14" s="179">
        <f>E14*F14</f>
        <v>163.62</v>
      </c>
      <c r="M14" s="180">
        <f>E14*H14</f>
        <v>899.91000000000008</v>
      </c>
      <c r="N14" s="180"/>
      <c r="O14" s="180"/>
      <c r="P14" s="181">
        <f t="shared" ref="P14:P51" si="1">SUM(M14:O14)</f>
        <v>899.91000000000008</v>
      </c>
    </row>
    <row r="15" spans="1:16" ht="15.75" x14ac:dyDescent="0.25">
      <c r="A15" s="85"/>
      <c r="B15" s="182"/>
      <c r="C15" s="97" t="s">
        <v>339</v>
      </c>
      <c r="D15" s="182" t="s">
        <v>331</v>
      </c>
      <c r="E15" s="183">
        <v>12.2</v>
      </c>
      <c r="F15" s="184"/>
      <c r="G15" s="184"/>
      <c r="H15" s="185"/>
      <c r="I15" s="186">
        <v>92</v>
      </c>
      <c r="J15" s="185"/>
      <c r="K15" s="94">
        <f>SUM(H15:J15)</f>
        <v>92</v>
      </c>
      <c r="L15" s="187"/>
      <c r="M15" s="188"/>
      <c r="N15" s="188">
        <f t="shared" ref="N15:N42" si="2">E15*I15</f>
        <v>1122.3999999999999</v>
      </c>
      <c r="O15" s="188"/>
      <c r="P15" s="189">
        <f t="shared" si="1"/>
        <v>1122.3999999999999</v>
      </c>
    </row>
    <row r="16" spans="1:16" x14ac:dyDescent="0.25">
      <c r="A16" s="85"/>
      <c r="B16" s="182"/>
      <c r="C16" s="97" t="s">
        <v>79</v>
      </c>
      <c r="D16" s="182" t="s">
        <v>69</v>
      </c>
      <c r="E16" s="87">
        <v>24</v>
      </c>
      <c r="F16" s="184"/>
      <c r="G16" s="184"/>
      <c r="H16" s="60"/>
      <c r="I16" s="186">
        <v>3.3</v>
      </c>
      <c r="J16" s="185"/>
      <c r="K16" s="190">
        <f>SUM(H16:J16)</f>
        <v>3.3</v>
      </c>
      <c r="L16" s="187"/>
      <c r="M16" s="188"/>
      <c r="N16" s="188">
        <f t="shared" si="2"/>
        <v>79.199999999999989</v>
      </c>
      <c r="O16" s="188"/>
      <c r="P16" s="189">
        <f t="shared" si="1"/>
        <v>79.199999999999989</v>
      </c>
    </row>
    <row r="17" spans="1:18" x14ac:dyDescent="0.25">
      <c r="A17" s="85"/>
      <c r="B17" s="182"/>
      <c r="C17" s="191" t="s">
        <v>76</v>
      </c>
      <c r="D17" s="192" t="s">
        <v>68</v>
      </c>
      <c r="E17" s="82">
        <v>0.03</v>
      </c>
      <c r="F17" s="193"/>
      <c r="G17" s="193"/>
      <c r="H17" s="58"/>
      <c r="I17" s="45">
        <v>457.75</v>
      </c>
      <c r="J17" s="186"/>
      <c r="K17" s="190">
        <f t="shared" ref="K17:K42" si="3">SUM(H17:J17)</f>
        <v>457.75</v>
      </c>
      <c r="L17" s="187"/>
      <c r="M17" s="188"/>
      <c r="N17" s="188">
        <f t="shared" si="2"/>
        <v>13.7325</v>
      </c>
      <c r="O17" s="188"/>
      <c r="P17" s="189">
        <f t="shared" si="1"/>
        <v>13.7325</v>
      </c>
    </row>
    <row r="18" spans="1:18" x14ac:dyDescent="0.25">
      <c r="A18" s="85" t="s">
        <v>11</v>
      </c>
      <c r="B18" s="182" t="s">
        <v>158</v>
      </c>
      <c r="C18" s="194" t="s">
        <v>340</v>
      </c>
      <c r="D18" s="192" t="s">
        <v>65</v>
      </c>
      <c r="E18" s="90">
        <v>3</v>
      </c>
      <c r="F18" s="193">
        <v>0.48</v>
      </c>
      <c r="G18" s="193">
        <v>5.5</v>
      </c>
      <c r="H18" s="58">
        <f t="shared" si="0"/>
        <v>2.6399999999999997</v>
      </c>
      <c r="I18" s="186"/>
      <c r="J18" s="186"/>
      <c r="K18" s="190">
        <f t="shared" si="3"/>
        <v>2.6399999999999997</v>
      </c>
      <c r="L18" s="187">
        <f t="shared" ref="L18:L35" si="4">E18*F18</f>
        <v>1.44</v>
      </c>
      <c r="M18" s="188">
        <f t="shared" ref="M18:M35" si="5">E18*H18</f>
        <v>7.919999999999999</v>
      </c>
      <c r="N18" s="188"/>
      <c r="O18" s="188"/>
      <c r="P18" s="189">
        <f t="shared" si="1"/>
        <v>7.919999999999999</v>
      </c>
    </row>
    <row r="19" spans="1:18" x14ac:dyDescent="0.25">
      <c r="A19" s="85"/>
      <c r="B19" s="182"/>
      <c r="C19" s="191" t="s">
        <v>36</v>
      </c>
      <c r="D19" s="192" t="s">
        <v>65</v>
      </c>
      <c r="E19" s="93">
        <v>3</v>
      </c>
      <c r="F19" s="193"/>
      <c r="G19" s="193"/>
      <c r="H19" s="58"/>
      <c r="I19" s="186">
        <v>28.37</v>
      </c>
      <c r="J19" s="186"/>
      <c r="K19" s="190">
        <f t="shared" si="3"/>
        <v>28.37</v>
      </c>
      <c r="L19" s="187"/>
      <c r="M19" s="188"/>
      <c r="N19" s="188">
        <f t="shared" si="2"/>
        <v>85.11</v>
      </c>
      <c r="O19" s="188"/>
      <c r="P19" s="189">
        <f t="shared" si="1"/>
        <v>85.11</v>
      </c>
    </row>
    <row r="20" spans="1:18" x14ac:dyDescent="0.25">
      <c r="A20" s="85"/>
      <c r="B20" s="182"/>
      <c r="C20" s="195" t="s">
        <v>79</v>
      </c>
      <c r="D20" s="192" t="s">
        <v>69</v>
      </c>
      <c r="E20" s="93">
        <v>1</v>
      </c>
      <c r="F20" s="193"/>
      <c r="G20" s="193"/>
      <c r="H20" s="58"/>
      <c r="I20" s="186">
        <v>3.3</v>
      </c>
      <c r="J20" s="186"/>
      <c r="K20" s="190">
        <f t="shared" si="3"/>
        <v>3.3</v>
      </c>
      <c r="L20" s="187"/>
      <c r="M20" s="188"/>
      <c r="N20" s="188">
        <f t="shared" si="2"/>
        <v>3.3</v>
      </c>
      <c r="O20" s="188"/>
      <c r="P20" s="189">
        <f t="shared" si="1"/>
        <v>3.3</v>
      </c>
    </row>
    <row r="21" spans="1:18" ht="39" x14ac:dyDescent="0.25">
      <c r="A21" s="85">
        <v>3</v>
      </c>
      <c r="B21" s="196" t="s">
        <v>231</v>
      </c>
      <c r="C21" s="152" t="s">
        <v>337</v>
      </c>
      <c r="D21" s="197" t="s">
        <v>333</v>
      </c>
      <c r="E21" s="198">
        <v>77.69</v>
      </c>
      <c r="F21" s="197">
        <v>2.2000000000000002</v>
      </c>
      <c r="G21" s="197">
        <v>5.5</v>
      </c>
      <c r="H21" s="198">
        <f>F21*G21</f>
        <v>12.100000000000001</v>
      </c>
      <c r="I21" s="197"/>
      <c r="J21" s="197"/>
      <c r="K21" s="198">
        <f t="shared" ref="K21:K33" si="6">SUM(H21:J21)</f>
        <v>12.100000000000001</v>
      </c>
      <c r="L21" s="198">
        <f>E21*F21</f>
        <v>170.91800000000001</v>
      </c>
      <c r="M21" s="198">
        <f>H21*E21</f>
        <v>940.04900000000009</v>
      </c>
      <c r="N21" s="198"/>
      <c r="O21" s="197"/>
      <c r="P21" s="382">
        <f t="shared" ref="P21:P33" si="7">SUM(M21:O21)</f>
        <v>940.04900000000009</v>
      </c>
      <c r="Q21" s="4"/>
      <c r="R21" s="5"/>
    </row>
    <row r="22" spans="1:18" x14ac:dyDescent="0.25">
      <c r="A22" s="85"/>
      <c r="B22" s="182"/>
      <c r="C22" s="152" t="s">
        <v>242</v>
      </c>
      <c r="D22" s="197" t="s">
        <v>333</v>
      </c>
      <c r="E22" s="198">
        <f>E21*2</f>
        <v>155.38</v>
      </c>
      <c r="F22" s="197"/>
      <c r="G22" s="197"/>
      <c r="H22" s="197"/>
      <c r="I22" s="198">
        <v>2.13</v>
      </c>
      <c r="J22" s="197"/>
      <c r="K22" s="198">
        <f t="shared" si="6"/>
        <v>2.13</v>
      </c>
      <c r="L22" s="198"/>
      <c r="M22" s="198"/>
      <c r="N22" s="198">
        <f>I22*E22</f>
        <v>330.95939999999996</v>
      </c>
      <c r="O22" s="197"/>
      <c r="P22" s="382">
        <f t="shared" si="7"/>
        <v>330.95939999999996</v>
      </c>
      <c r="Q22" s="4"/>
      <c r="R22" s="5"/>
    </row>
    <row r="23" spans="1:18" x14ac:dyDescent="0.25">
      <c r="A23" s="85"/>
      <c r="B23" s="182"/>
      <c r="C23" s="152" t="s">
        <v>232</v>
      </c>
      <c r="D23" s="197" t="s">
        <v>65</v>
      </c>
      <c r="E23" s="198">
        <v>55</v>
      </c>
      <c r="F23" s="197"/>
      <c r="G23" s="197"/>
      <c r="H23" s="197"/>
      <c r="I23" s="198">
        <v>2.08</v>
      </c>
      <c r="J23" s="197"/>
      <c r="K23" s="198">
        <f t="shared" si="6"/>
        <v>2.08</v>
      </c>
      <c r="L23" s="198"/>
      <c r="M23" s="198"/>
      <c r="N23" s="198">
        <f t="shared" ref="N23:N29" si="8">I23*E23</f>
        <v>114.4</v>
      </c>
      <c r="O23" s="197"/>
      <c r="P23" s="382">
        <f t="shared" si="7"/>
        <v>114.4</v>
      </c>
      <c r="Q23" s="4"/>
      <c r="R23" s="5"/>
    </row>
    <row r="24" spans="1:18" x14ac:dyDescent="0.25">
      <c r="A24" s="85"/>
      <c r="B24" s="182"/>
      <c r="C24" s="152" t="s">
        <v>233</v>
      </c>
      <c r="D24" s="197" t="s">
        <v>65</v>
      </c>
      <c r="E24" s="198">
        <v>22</v>
      </c>
      <c r="F24" s="197"/>
      <c r="G24" s="197"/>
      <c r="H24" s="197"/>
      <c r="I24" s="198">
        <v>1.99</v>
      </c>
      <c r="J24" s="197"/>
      <c r="K24" s="198">
        <f t="shared" si="6"/>
        <v>1.99</v>
      </c>
      <c r="L24" s="198"/>
      <c r="M24" s="198"/>
      <c r="N24" s="198">
        <f t="shared" si="8"/>
        <v>43.78</v>
      </c>
      <c r="O24" s="197"/>
      <c r="P24" s="382">
        <f t="shared" si="7"/>
        <v>43.78</v>
      </c>
      <c r="Q24" s="4"/>
      <c r="R24" s="5"/>
    </row>
    <row r="25" spans="1:18" x14ac:dyDescent="0.25">
      <c r="A25" s="85"/>
      <c r="B25" s="182"/>
      <c r="C25" s="152"/>
      <c r="D25" s="197"/>
      <c r="E25" s="198"/>
      <c r="F25" s="197"/>
      <c r="G25" s="197"/>
      <c r="H25" s="197"/>
      <c r="I25" s="198"/>
      <c r="J25" s="197"/>
      <c r="K25" s="198"/>
      <c r="L25" s="198"/>
      <c r="M25" s="198"/>
      <c r="N25" s="198"/>
      <c r="O25" s="197"/>
      <c r="P25" s="382"/>
      <c r="Q25" s="4"/>
      <c r="R25" s="5"/>
    </row>
    <row r="26" spans="1:18" x14ac:dyDescent="0.25">
      <c r="A26" s="85"/>
      <c r="B26" s="182"/>
      <c r="C26" s="152" t="s">
        <v>234</v>
      </c>
      <c r="D26" s="197" t="s">
        <v>235</v>
      </c>
      <c r="E26" s="198">
        <v>4.5</v>
      </c>
      <c r="F26" s="197"/>
      <c r="G26" s="197"/>
      <c r="H26" s="197"/>
      <c r="I26" s="198">
        <v>5.6</v>
      </c>
      <c r="J26" s="197"/>
      <c r="K26" s="198">
        <f t="shared" si="6"/>
        <v>5.6</v>
      </c>
      <c r="L26" s="198"/>
      <c r="M26" s="198"/>
      <c r="N26" s="198">
        <f t="shared" si="8"/>
        <v>25.2</v>
      </c>
      <c r="O26" s="197"/>
      <c r="P26" s="382">
        <f t="shared" si="7"/>
        <v>25.2</v>
      </c>
      <c r="Q26" s="4"/>
      <c r="R26" s="5"/>
    </row>
    <row r="27" spans="1:18" x14ac:dyDescent="0.25">
      <c r="A27" s="85"/>
      <c r="B27" s="182"/>
      <c r="C27" s="152" t="s">
        <v>236</v>
      </c>
      <c r="D27" s="199" t="s">
        <v>61</v>
      </c>
      <c r="E27" s="200">
        <v>285</v>
      </c>
      <c r="F27" s="197"/>
      <c r="G27" s="197"/>
      <c r="H27" s="197"/>
      <c r="I27" s="198">
        <v>4.5999999999999999E-2</v>
      </c>
      <c r="J27" s="197"/>
      <c r="K27" s="198">
        <f t="shared" si="6"/>
        <v>4.5999999999999999E-2</v>
      </c>
      <c r="L27" s="198"/>
      <c r="M27" s="198"/>
      <c r="N27" s="198">
        <f t="shared" si="8"/>
        <v>13.11</v>
      </c>
      <c r="O27" s="197"/>
      <c r="P27" s="382">
        <f t="shared" si="7"/>
        <v>13.11</v>
      </c>
      <c r="Q27" s="4"/>
      <c r="R27" s="5"/>
    </row>
    <row r="28" spans="1:18" x14ac:dyDescent="0.25">
      <c r="A28" s="85"/>
      <c r="B28" s="182"/>
      <c r="C28" s="152" t="s">
        <v>243</v>
      </c>
      <c r="D28" s="199" t="s">
        <v>69</v>
      </c>
      <c r="E28" s="200">
        <v>8</v>
      </c>
      <c r="F28" s="197"/>
      <c r="G28" s="197"/>
      <c r="H28" s="197"/>
      <c r="I28" s="198">
        <v>15.58</v>
      </c>
      <c r="J28" s="197"/>
      <c r="K28" s="198">
        <f t="shared" si="6"/>
        <v>15.58</v>
      </c>
      <c r="L28" s="198"/>
      <c r="M28" s="198"/>
      <c r="N28" s="198">
        <f t="shared" si="8"/>
        <v>124.64</v>
      </c>
      <c r="O28" s="197"/>
      <c r="P28" s="382">
        <f t="shared" si="7"/>
        <v>124.64</v>
      </c>
      <c r="Q28" s="4"/>
      <c r="R28" s="5"/>
    </row>
    <row r="29" spans="1:18" x14ac:dyDescent="0.25">
      <c r="A29" s="85"/>
      <c r="B29" s="182"/>
      <c r="C29" s="152" t="s">
        <v>237</v>
      </c>
      <c r="D29" s="197" t="s">
        <v>333</v>
      </c>
      <c r="E29" s="200">
        <v>1.5</v>
      </c>
      <c r="F29" s="197"/>
      <c r="G29" s="197"/>
      <c r="H29" s="197"/>
      <c r="I29" s="198">
        <v>5.5</v>
      </c>
      <c r="J29" s="197"/>
      <c r="K29" s="198">
        <f t="shared" si="6"/>
        <v>5.5</v>
      </c>
      <c r="L29" s="198"/>
      <c r="M29" s="198"/>
      <c r="N29" s="198">
        <f t="shared" si="8"/>
        <v>8.25</v>
      </c>
      <c r="O29" s="197"/>
      <c r="P29" s="382">
        <f t="shared" si="7"/>
        <v>8.25</v>
      </c>
      <c r="Q29" s="4"/>
      <c r="R29" s="5"/>
    </row>
    <row r="30" spans="1:18" ht="39" x14ac:dyDescent="0.25">
      <c r="A30" s="85">
        <v>4</v>
      </c>
      <c r="B30" s="196" t="s">
        <v>238</v>
      </c>
      <c r="C30" s="201" t="s">
        <v>245</v>
      </c>
      <c r="D30" s="197" t="s">
        <v>333</v>
      </c>
      <c r="E30" s="200">
        <f>E21*2</f>
        <v>155.38</v>
      </c>
      <c r="F30" s="197">
        <v>0.14000000000000001</v>
      </c>
      <c r="G30" s="197">
        <v>5.5</v>
      </c>
      <c r="H30" s="197">
        <f>F30*G30</f>
        <v>0.77</v>
      </c>
      <c r="I30" s="197"/>
      <c r="J30" s="197"/>
      <c r="K30" s="198">
        <f t="shared" si="6"/>
        <v>0.77</v>
      </c>
      <c r="L30" s="198">
        <f>E30*F30</f>
        <v>21.753200000000003</v>
      </c>
      <c r="M30" s="198">
        <f>H30*E30</f>
        <v>119.6426</v>
      </c>
      <c r="N30" s="198"/>
      <c r="O30" s="197"/>
      <c r="P30" s="382">
        <f t="shared" si="7"/>
        <v>119.6426</v>
      </c>
      <c r="Q30" s="4"/>
      <c r="R30" s="5"/>
    </row>
    <row r="31" spans="1:18" x14ac:dyDescent="0.25">
      <c r="A31" s="85"/>
      <c r="B31" s="182"/>
      <c r="C31" s="152" t="s">
        <v>241</v>
      </c>
      <c r="D31" s="197" t="s">
        <v>70</v>
      </c>
      <c r="E31" s="198">
        <v>20</v>
      </c>
      <c r="F31" s="197"/>
      <c r="G31" s="197"/>
      <c r="H31" s="197"/>
      <c r="I31" s="198">
        <v>0.75</v>
      </c>
      <c r="J31" s="197"/>
      <c r="K31" s="198">
        <f t="shared" si="6"/>
        <v>0.75</v>
      </c>
      <c r="L31" s="198"/>
      <c r="M31" s="198"/>
      <c r="N31" s="198">
        <f t="shared" ref="N31" si="9">I31*E31</f>
        <v>15</v>
      </c>
      <c r="O31" s="197"/>
      <c r="P31" s="382">
        <f t="shared" si="7"/>
        <v>15</v>
      </c>
      <c r="Q31" s="4"/>
      <c r="R31" s="5"/>
    </row>
    <row r="32" spans="1:18" ht="39" x14ac:dyDescent="0.25">
      <c r="A32" s="85">
        <v>5</v>
      </c>
      <c r="B32" s="196" t="s">
        <v>239</v>
      </c>
      <c r="C32" s="201" t="s">
        <v>244</v>
      </c>
      <c r="D32" s="197" t="s">
        <v>333</v>
      </c>
      <c r="E32" s="198">
        <v>146</v>
      </c>
      <c r="F32" s="197">
        <v>0.14000000000000001</v>
      </c>
      <c r="G32" s="197">
        <v>5.5</v>
      </c>
      <c r="H32" s="197">
        <f>F32*G32</f>
        <v>0.77</v>
      </c>
      <c r="I32" s="202"/>
      <c r="J32" s="197"/>
      <c r="K32" s="198">
        <f t="shared" si="6"/>
        <v>0.77</v>
      </c>
      <c r="L32" s="198"/>
      <c r="M32" s="198">
        <f>H32*E32</f>
        <v>112.42</v>
      </c>
      <c r="N32" s="202"/>
      <c r="O32" s="197"/>
      <c r="P32" s="382">
        <f t="shared" si="7"/>
        <v>112.42</v>
      </c>
      <c r="Q32" s="4"/>
      <c r="R32" s="5"/>
    </row>
    <row r="33" spans="1:18" ht="26.25" x14ac:dyDescent="0.25">
      <c r="A33" s="85"/>
      <c r="B33" s="182"/>
      <c r="C33" s="152" t="s">
        <v>240</v>
      </c>
      <c r="D33" s="197" t="s">
        <v>70</v>
      </c>
      <c r="E33" s="198">
        <v>20</v>
      </c>
      <c r="F33" s="202"/>
      <c r="G33" s="202"/>
      <c r="H33" s="202"/>
      <c r="I33" s="198">
        <v>0.95</v>
      </c>
      <c r="J33" s="197"/>
      <c r="K33" s="198">
        <f t="shared" si="6"/>
        <v>0.95</v>
      </c>
      <c r="L33" s="198"/>
      <c r="M33" s="198"/>
      <c r="N33" s="198">
        <f>I33*E33</f>
        <v>19</v>
      </c>
      <c r="O33" s="197"/>
      <c r="P33" s="382">
        <f t="shared" si="7"/>
        <v>19</v>
      </c>
      <c r="Q33" s="4"/>
      <c r="R33" s="5"/>
    </row>
    <row r="34" spans="1:18" x14ac:dyDescent="0.25">
      <c r="A34" s="85"/>
      <c r="B34" s="182"/>
      <c r="C34" s="195" t="s">
        <v>79</v>
      </c>
      <c r="D34" s="203" t="s">
        <v>69</v>
      </c>
      <c r="E34" s="93">
        <v>3</v>
      </c>
      <c r="F34" s="193"/>
      <c r="G34" s="193"/>
      <c r="H34" s="58"/>
      <c r="I34" s="186">
        <v>1.8328</v>
      </c>
      <c r="J34" s="186"/>
      <c r="K34" s="190">
        <f t="shared" si="3"/>
        <v>1.8328</v>
      </c>
      <c r="L34" s="187"/>
      <c r="M34" s="188"/>
      <c r="N34" s="188">
        <f t="shared" si="2"/>
        <v>5.4984000000000002</v>
      </c>
      <c r="O34" s="188"/>
      <c r="P34" s="189">
        <f t="shared" si="1"/>
        <v>5.4984000000000002</v>
      </c>
    </row>
    <row r="35" spans="1:18" x14ac:dyDescent="0.25">
      <c r="A35" s="85">
        <v>6</v>
      </c>
      <c r="B35" s="182"/>
      <c r="C35" s="204" t="s">
        <v>258</v>
      </c>
      <c r="D35" s="205" t="s">
        <v>65</v>
      </c>
      <c r="E35" s="183">
        <v>41</v>
      </c>
      <c r="F35" s="193">
        <v>1.5</v>
      </c>
      <c r="G35" s="193">
        <v>5.5</v>
      </c>
      <c r="H35" s="58">
        <f t="shared" si="0"/>
        <v>8.25</v>
      </c>
      <c r="I35" s="186"/>
      <c r="J35" s="186"/>
      <c r="K35" s="190">
        <f t="shared" si="3"/>
        <v>8.25</v>
      </c>
      <c r="L35" s="187">
        <f t="shared" si="4"/>
        <v>61.5</v>
      </c>
      <c r="M35" s="188">
        <f t="shared" si="5"/>
        <v>338.25</v>
      </c>
      <c r="N35" s="188"/>
      <c r="O35" s="188"/>
      <c r="P35" s="189">
        <f t="shared" si="1"/>
        <v>338.25</v>
      </c>
    </row>
    <row r="36" spans="1:18" ht="15.75" x14ac:dyDescent="0.25">
      <c r="A36" s="85"/>
      <c r="B36" s="182"/>
      <c r="C36" s="369" t="s">
        <v>246</v>
      </c>
      <c r="D36" s="205" t="s">
        <v>332</v>
      </c>
      <c r="E36" s="183">
        <f>2.13*4.8*22</f>
        <v>224.92799999999997</v>
      </c>
      <c r="F36" s="193"/>
      <c r="G36" s="193"/>
      <c r="H36" s="58"/>
      <c r="I36" s="186">
        <v>60</v>
      </c>
      <c r="J36" s="186"/>
      <c r="K36" s="190">
        <f t="shared" si="3"/>
        <v>60</v>
      </c>
      <c r="L36" s="187"/>
      <c r="M36" s="188"/>
      <c r="N36" s="188">
        <f t="shared" si="2"/>
        <v>13495.679999999998</v>
      </c>
      <c r="O36" s="188"/>
      <c r="P36" s="189">
        <f t="shared" si="1"/>
        <v>13495.679999999998</v>
      </c>
    </row>
    <row r="37" spans="1:18" ht="15.75" x14ac:dyDescent="0.25">
      <c r="A37" s="85"/>
      <c r="B37" s="182"/>
      <c r="C37" s="369" t="s">
        <v>247</v>
      </c>
      <c r="D37" s="205" t="s">
        <v>332</v>
      </c>
      <c r="E37" s="183">
        <f>2.81*2.13*2</f>
        <v>11.970599999999999</v>
      </c>
      <c r="F37" s="193"/>
      <c r="G37" s="193"/>
      <c r="H37" s="58"/>
      <c r="I37" s="186">
        <v>60</v>
      </c>
      <c r="J37" s="186"/>
      <c r="K37" s="190">
        <f t="shared" si="3"/>
        <v>60</v>
      </c>
      <c r="L37" s="187"/>
      <c r="M37" s="188"/>
      <c r="N37" s="188">
        <f t="shared" si="2"/>
        <v>718.23599999999999</v>
      </c>
      <c r="O37" s="188"/>
      <c r="P37" s="189">
        <f t="shared" si="1"/>
        <v>718.23599999999999</v>
      </c>
    </row>
    <row r="38" spans="1:18" ht="15.75" x14ac:dyDescent="0.25">
      <c r="A38" s="85"/>
      <c r="B38" s="182"/>
      <c r="C38" s="369" t="s">
        <v>248</v>
      </c>
      <c r="D38" s="205" t="s">
        <v>332</v>
      </c>
      <c r="E38" s="183">
        <f>1.18*3.1*2</f>
        <v>7.3159999999999998</v>
      </c>
      <c r="F38" s="193"/>
      <c r="G38" s="193"/>
      <c r="H38" s="58"/>
      <c r="I38" s="186">
        <v>60</v>
      </c>
      <c r="J38" s="186"/>
      <c r="K38" s="190">
        <f t="shared" si="3"/>
        <v>60</v>
      </c>
      <c r="L38" s="187"/>
      <c r="M38" s="188"/>
      <c r="N38" s="188">
        <f t="shared" si="2"/>
        <v>438.96</v>
      </c>
      <c r="O38" s="188"/>
      <c r="P38" s="189">
        <f t="shared" si="1"/>
        <v>438.96</v>
      </c>
    </row>
    <row r="39" spans="1:18" ht="15.75" x14ac:dyDescent="0.25">
      <c r="A39" s="85"/>
      <c r="B39" s="182"/>
      <c r="C39" s="369" t="s">
        <v>249</v>
      </c>
      <c r="D39" s="57" t="s">
        <v>332</v>
      </c>
      <c r="E39" s="183">
        <f>2.12*4.18*2</f>
        <v>17.723199999999999</v>
      </c>
      <c r="F39" s="184"/>
      <c r="G39" s="184"/>
      <c r="H39" s="60"/>
      <c r="I39" s="186">
        <v>60</v>
      </c>
      <c r="J39" s="185"/>
      <c r="K39" s="190">
        <f t="shared" si="3"/>
        <v>60</v>
      </c>
      <c r="L39" s="187"/>
      <c r="M39" s="188"/>
      <c r="N39" s="188">
        <f t="shared" si="2"/>
        <v>1063.3919999999998</v>
      </c>
      <c r="O39" s="188"/>
      <c r="P39" s="189">
        <f t="shared" si="1"/>
        <v>1063.3919999999998</v>
      </c>
    </row>
    <row r="40" spans="1:18" ht="15.75" x14ac:dyDescent="0.25">
      <c r="A40" s="85"/>
      <c r="B40" s="182"/>
      <c r="C40" s="369" t="s">
        <v>250</v>
      </c>
      <c r="D40" s="57" t="s">
        <v>332</v>
      </c>
      <c r="E40" s="183">
        <f>1.18*3.15*2</f>
        <v>7.4339999999999993</v>
      </c>
      <c r="F40" s="184"/>
      <c r="G40" s="184"/>
      <c r="H40" s="60"/>
      <c r="I40" s="186">
        <v>60</v>
      </c>
      <c r="J40" s="185"/>
      <c r="K40" s="190">
        <f t="shared" si="3"/>
        <v>60</v>
      </c>
      <c r="L40" s="187"/>
      <c r="M40" s="188"/>
      <c r="N40" s="188">
        <f t="shared" si="2"/>
        <v>446.03999999999996</v>
      </c>
      <c r="O40" s="188"/>
      <c r="P40" s="189">
        <f t="shared" si="1"/>
        <v>446.03999999999996</v>
      </c>
    </row>
    <row r="41" spans="1:18" ht="15.75" x14ac:dyDescent="0.25">
      <c r="A41" s="85"/>
      <c r="B41" s="182"/>
      <c r="C41" s="369" t="s">
        <v>251</v>
      </c>
      <c r="D41" s="57" t="s">
        <v>332</v>
      </c>
      <c r="E41" s="183">
        <f>1.18*3.07*2</f>
        <v>7.2451999999999996</v>
      </c>
      <c r="F41" s="184"/>
      <c r="G41" s="184"/>
      <c r="H41" s="60"/>
      <c r="I41" s="186">
        <v>60</v>
      </c>
      <c r="J41" s="185"/>
      <c r="K41" s="190">
        <f t="shared" si="3"/>
        <v>60</v>
      </c>
      <c r="L41" s="187"/>
      <c r="M41" s="188"/>
      <c r="N41" s="188">
        <f t="shared" si="2"/>
        <v>434.71199999999999</v>
      </c>
      <c r="O41" s="188"/>
      <c r="P41" s="189">
        <f t="shared" si="1"/>
        <v>434.71199999999999</v>
      </c>
    </row>
    <row r="42" spans="1:18" ht="15.75" x14ac:dyDescent="0.25">
      <c r="A42" s="85"/>
      <c r="B42" s="182"/>
      <c r="C42" s="369" t="s">
        <v>252</v>
      </c>
      <c r="D42" s="57" t="s">
        <v>332</v>
      </c>
      <c r="E42" s="183">
        <f>1.18*3.07*2</f>
        <v>7.2451999999999996</v>
      </c>
      <c r="F42" s="184"/>
      <c r="G42" s="184"/>
      <c r="H42" s="206"/>
      <c r="I42" s="186">
        <v>60</v>
      </c>
      <c r="J42" s="185"/>
      <c r="K42" s="190">
        <f t="shared" si="3"/>
        <v>60</v>
      </c>
      <c r="L42" s="187"/>
      <c r="M42" s="188"/>
      <c r="N42" s="188">
        <f t="shared" si="2"/>
        <v>434.71199999999999</v>
      </c>
      <c r="O42" s="188"/>
      <c r="P42" s="189">
        <f t="shared" si="1"/>
        <v>434.71199999999999</v>
      </c>
    </row>
    <row r="43" spans="1:18" ht="15.75" x14ac:dyDescent="0.25">
      <c r="A43" s="96"/>
      <c r="B43" s="182"/>
      <c r="C43" s="152" t="s">
        <v>253</v>
      </c>
      <c r="D43" s="207" t="s">
        <v>332</v>
      </c>
      <c r="E43" s="93">
        <f>2.13*2.81*2</f>
        <v>11.970599999999999</v>
      </c>
      <c r="F43" s="184"/>
      <c r="G43" s="184"/>
      <c r="H43" s="208"/>
      <c r="I43" s="186">
        <v>60</v>
      </c>
      <c r="J43" s="185"/>
      <c r="K43" s="94">
        <f t="shared" ref="K43:K51" si="10">SUM(H43:J43)</f>
        <v>60</v>
      </c>
      <c r="L43" s="187"/>
      <c r="M43" s="188"/>
      <c r="N43" s="188">
        <f t="shared" ref="N43:N51" si="11">E43*I43</f>
        <v>718.23599999999999</v>
      </c>
      <c r="O43" s="188"/>
      <c r="P43" s="189">
        <f t="shared" si="1"/>
        <v>718.23599999999999</v>
      </c>
    </row>
    <row r="44" spans="1:18" ht="15.75" x14ac:dyDescent="0.25">
      <c r="A44" s="96"/>
      <c r="B44" s="182"/>
      <c r="C44" s="152" t="s">
        <v>255</v>
      </c>
      <c r="D44" s="207" t="s">
        <v>332</v>
      </c>
      <c r="E44" s="186">
        <f>3.3*4.8</f>
        <v>15.839999999999998</v>
      </c>
      <c r="F44" s="184"/>
      <c r="G44" s="184"/>
      <c r="H44" s="185"/>
      <c r="I44" s="186">
        <v>65</v>
      </c>
      <c r="J44" s="185"/>
      <c r="K44" s="94">
        <f t="shared" si="10"/>
        <v>65</v>
      </c>
      <c r="L44" s="209"/>
      <c r="M44" s="210"/>
      <c r="N44" s="210">
        <f t="shared" si="11"/>
        <v>1029.5999999999999</v>
      </c>
      <c r="O44" s="188"/>
      <c r="P44" s="189">
        <f t="shared" si="1"/>
        <v>1029.5999999999999</v>
      </c>
    </row>
    <row r="45" spans="1:18" ht="15.75" x14ac:dyDescent="0.25">
      <c r="A45" s="96"/>
      <c r="B45" s="182"/>
      <c r="C45" s="152" t="s">
        <v>254</v>
      </c>
      <c r="D45" s="207" t="s">
        <v>332</v>
      </c>
      <c r="E45" s="186">
        <f>3.3*2.81</f>
        <v>9.2729999999999997</v>
      </c>
      <c r="F45" s="184"/>
      <c r="G45" s="184"/>
      <c r="H45" s="185"/>
      <c r="I45" s="186">
        <v>65</v>
      </c>
      <c r="J45" s="185"/>
      <c r="K45" s="94">
        <f t="shared" si="10"/>
        <v>65</v>
      </c>
      <c r="L45" s="209"/>
      <c r="M45" s="210"/>
      <c r="N45" s="210">
        <f t="shared" si="11"/>
        <v>602.745</v>
      </c>
      <c r="O45" s="188"/>
      <c r="P45" s="189"/>
    </row>
    <row r="46" spans="1:18" ht="15.75" x14ac:dyDescent="0.25">
      <c r="A46" s="96"/>
      <c r="B46" s="182"/>
      <c r="C46" s="152" t="s">
        <v>256</v>
      </c>
      <c r="D46" s="207" t="s">
        <v>332</v>
      </c>
      <c r="E46" s="186">
        <f>3.3*3.1</f>
        <v>10.23</v>
      </c>
      <c r="F46" s="184"/>
      <c r="G46" s="184"/>
      <c r="H46" s="185"/>
      <c r="I46" s="186">
        <v>65</v>
      </c>
      <c r="J46" s="185"/>
      <c r="K46" s="94">
        <f t="shared" si="10"/>
        <v>65</v>
      </c>
      <c r="L46" s="209"/>
      <c r="M46" s="210"/>
      <c r="N46" s="210">
        <f t="shared" si="11"/>
        <v>664.95</v>
      </c>
      <c r="O46" s="188"/>
      <c r="P46" s="189"/>
    </row>
    <row r="47" spans="1:18" ht="15.75" x14ac:dyDescent="0.25">
      <c r="A47" s="96"/>
      <c r="B47" s="182"/>
      <c r="C47" s="152" t="s">
        <v>257</v>
      </c>
      <c r="D47" s="207" t="s">
        <v>332</v>
      </c>
      <c r="E47" s="186">
        <f>3.3*2.62</f>
        <v>8.645999999999999</v>
      </c>
      <c r="F47" s="184"/>
      <c r="G47" s="184"/>
      <c r="H47" s="185"/>
      <c r="I47" s="186">
        <v>65</v>
      </c>
      <c r="J47" s="185"/>
      <c r="K47" s="94">
        <f t="shared" si="10"/>
        <v>65</v>
      </c>
      <c r="L47" s="209"/>
      <c r="M47" s="210"/>
      <c r="N47" s="210">
        <f t="shared" si="11"/>
        <v>561.9899999999999</v>
      </c>
      <c r="O47" s="188"/>
      <c r="P47" s="189"/>
    </row>
    <row r="48" spans="1:18" x14ac:dyDescent="0.25">
      <c r="A48" s="96"/>
      <c r="B48" s="182"/>
      <c r="C48" s="144" t="s">
        <v>259</v>
      </c>
      <c r="D48" s="211" t="s">
        <v>72</v>
      </c>
      <c r="E48" s="186">
        <v>50</v>
      </c>
      <c r="F48" s="184"/>
      <c r="G48" s="184"/>
      <c r="H48" s="185"/>
      <c r="I48" s="186"/>
      <c r="J48" s="186">
        <v>28</v>
      </c>
      <c r="K48" s="94">
        <f t="shared" si="10"/>
        <v>28</v>
      </c>
      <c r="L48" s="209"/>
      <c r="M48" s="210"/>
      <c r="N48" s="210">
        <f t="shared" si="11"/>
        <v>0</v>
      </c>
      <c r="O48" s="188">
        <f>E48*J48</f>
        <v>1400</v>
      </c>
      <c r="P48" s="189">
        <f t="shared" si="1"/>
        <v>1400</v>
      </c>
    </row>
    <row r="49" spans="1:23" ht="15.75" x14ac:dyDescent="0.25">
      <c r="A49" s="96">
        <v>7</v>
      </c>
      <c r="B49" s="182"/>
      <c r="C49" s="367" t="s">
        <v>260</v>
      </c>
      <c r="D49" s="57" t="s">
        <v>332</v>
      </c>
      <c r="E49" s="226">
        <v>160.63</v>
      </c>
      <c r="F49" s="184">
        <v>1.5</v>
      </c>
      <c r="G49" s="184">
        <v>5.5</v>
      </c>
      <c r="H49" s="58">
        <f t="shared" ref="H49" si="12">G49*F49</f>
        <v>8.25</v>
      </c>
      <c r="I49" s="186"/>
      <c r="J49" s="186"/>
      <c r="K49" s="94">
        <f t="shared" si="10"/>
        <v>8.25</v>
      </c>
      <c r="L49" s="187">
        <f t="shared" ref="L49" si="13">E49*F49</f>
        <v>240.94499999999999</v>
      </c>
      <c r="M49" s="188">
        <f t="shared" ref="M49" si="14">E49*H49</f>
        <v>1325.1975</v>
      </c>
      <c r="N49" s="210"/>
      <c r="O49" s="188"/>
      <c r="P49" s="189">
        <f t="shared" si="1"/>
        <v>1325.1975</v>
      </c>
    </row>
    <row r="50" spans="1:23" ht="15.75" x14ac:dyDescent="0.25">
      <c r="A50" s="96"/>
      <c r="B50" s="182"/>
      <c r="C50" s="99" t="s">
        <v>261</v>
      </c>
      <c r="D50" s="207" t="s">
        <v>332</v>
      </c>
      <c r="E50" s="186">
        <v>180</v>
      </c>
      <c r="F50" s="184"/>
      <c r="G50" s="184"/>
      <c r="H50" s="185"/>
      <c r="I50" s="186">
        <v>5.01</v>
      </c>
      <c r="J50" s="186"/>
      <c r="K50" s="94">
        <f t="shared" si="10"/>
        <v>5.01</v>
      </c>
      <c r="L50" s="209"/>
      <c r="M50" s="210"/>
      <c r="N50" s="210">
        <f t="shared" si="11"/>
        <v>901.8</v>
      </c>
      <c r="O50" s="188"/>
      <c r="P50" s="189">
        <f t="shared" si="1"/>
        <v>901.8</v>
      </c>
    </row>
    <row r="51" spans="1:23" x14ac:dyDescent="0.25">
      <c r="A51" s="96"/>
      <c r="B51" s="182"/>
      <c r="C51" s="99" t="s">
        <v>262</v>
      </c>
      <c r="D51" s="211" t="s">
        <v>263</v>
      </c>
      <c r="E51" s="186">
        <v>3.2</v>
      </c>
      <c r="F51" s="184"/>
      <c r="G51" s="184"/>
      <c r="H51" s="185"/>
      <c r="I51" s="186">
        <v>80</v>
      </c>
      <c r="J51" s="186"/>
      <c r="K51" s="94">
        <f t="shared" si="10"/>
        <v>80</v>
      </c>
      <c r="L51" s="209"/>
      <c r="M51" s="210"/>
      <c r="N51" s="210">
        <f t="shared" si="11"/>
        <v>256</v>
      </c>
      <c r="O51" s="188"/>
      <c r="P51" s="189">
        <f t="shared" si="1"/>
        <v>256</v>
      </c>
    </row>
    <row r="52" spans="1:23" x14ac:dyDescent="0.25">
      <c r="A52" s="65" t="s">
        <v>16</v>
      </c>
      <c r="B52" s="212" t="s">
        <v>16</v>
      </c>
      <c r="C52" s="416" t="s">
        <v>17</v>
      </c>
      <c r="D52" s="416"/>
      <c r="E52" s="103" t="s">
        <v>16</v>
      </c>
      <c r="F52" s="103" t="s">
        <v>16</v>
      </c>
      <c r="G52" s="103" t="s">
        <v>16</v>
      </c>
      <c r="H52" s="103" t="s">
        <v>16</v>
      </c>
      <c r="I52" s="103" t="s">
        <v>16</v>
      </c>
      <c r="J52" s="103" t="s">
        <v>16</v>
      </c>
      <c r="K52" s="103" t="s">
        <v>16</v>
      </c>
      <c r="L52" s="213">
        <f>SUM(L14:L51)</f>
        <v>660.17619999999999</v>
      </c>
      <c r="M52" s="213">
        <f>SUM(M14:M51)</f>
        <v>3743.3891000000003</v>
      </c>
      <c r="N52" s="213">
        <f>SUM(N14:N51)</f>
        <v>23770.633299999998</v>
      </c>
      <c r="O52" s="214">
        <f>SUM(O14:O51)</f>
        <v>1400</v>
      </c>
      <c r="P52" s="215">
        <f>SUM(P14:P51)</f>
        <v>27084.337399999997</v>
      </c>
    </row>
    <row r="53" spans="1:23" x14ac:dyDescent="0.25">
      <c r="A53" s="65" t="s">
        <v>16</v>
      </c>
      <c r="B53" s="68" t="s">
        <v>16</v>
      </c>
      <c r="C53" s="411" t="s">
        <v>18</v>
      </c>
      <c r="D53" s="412"/>
      <c r="E53" s="412"/>
      <c r="F53" s="412"/>
      <c r="G53" s="412"/>
      <c r="H53" s="412"/>
      <c r="I53" s="412"/>
      <c r="J53" s="412"/>
      <c r="K53" s="412"/>
      <c r="L53" s="108"/>
      <c r="M53" s="109"/>
      <c r="N53" s="109">
        <f>N52*0.05</f>
        <v>1188.531665</v>
      </c>
      <c r="O53" s="110"/>
      <c r="P53" s="111">
        <f>N53</f>
        <v>1188.531665</v>
      </c>
    </row>
    <row r="54" spans="1:23" ht="15.75" thickBot="1" x14ac:dyDescent="0.3">
      <c r="A54" s="69" t="s">
        <v>16</v>
      </c>
      <c r="B54" s="70" t="s">
        <v>16</v>
      </c>
      <c r="C54" s="413" t="s">
        <v>19</v>
      </c>
      <c r="D54" s="414"/>
      <c r="E54" s="414"/>
      <c r="F54" s="414"/>
      <c r="G54" s="414"/>
      <c r="H54" s="414"/>
      <c r="I54" s="414"/>
      <c r="J54" s="414"/>
      <c r="K54" s="414"/>
      <c r="L54" s="112"/>
      <c r="M54" s="113">
        <f>M52+M53</f>
        <v>3743.3891000000003</v>
      </c>
      <c r="N54" s="113">
        <f>N52+N53</f>
        <v>24959.164964999996</v>
      </c>
      <c r="O54" s="113">
        <f>O52+O53</f>
        <v>1400</v>
      </c>
      <c r="P54" s="114">
        <f>P52+P53</f>
        <v>28272.869064999995</v>
      </c>
    </row>
    <row r="55" spans="1:23" x14ac:dyDescent="0.25">
      <c r="A55" s="19" t="s">
        <v>20</v>
      </c>
      <c r="B55" s="76"/>
      <c r="C55" s="77"/>
      <c r="D55" s="14"/>
      <c r="E55" s="14"/>
      <c r="F55" s="14"/>
      <c r="G55" s="19" t="s">
        <v>21</v>
      </c>
      <c r="H55" s="78"/>
      <c r="I55" s="77"/>
      <c r="J55" s="77"/>
      <c r="K55" s="76"/>
      <c r="L55" s="76"/>
      <c r="M55" s="76"/>
      <c r="N55" s="76"/>
      <c r="O55" s="76"/>
      <c r="P55" s="14"/>
    </row>
    <row r="56" spans="1:23" x14ac:dyDescent="0.25">
      <c r="A56" s="79"/>
      <c r="B56" s="80"/>
      <c r="C56" s="81" t="s">
        <v>22</v>
      </c>
      <c r="D56" s="14"/>
      <c r="E56" s="14"/>
      <c r="F56" s="14"/>
      <c r="G56" s="80"/>
      <c r="H56" s="80"/>
      <c r="I56" s="81" t="s">
        <v>22</v>
      </c>
      <c r="J56" s="80"/>
      <c r="K56" s="80"/>
      <c r="L56" s="80"/>
      <c r="M56" s="80"/>
      <c r="N56" s="80"/>
      <c r="O56" s="14"/>
      <c r="P56" s="14"/>
    </row>
    <row r="62" spans="1:23" x14ac:dyDescent="0.25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x14ac:dyDescent="0.25">
      <c r="D63" s="6"/>
      <c r="E63" s="7"/>
      <c r="F63" s="7"/>
      <c r="G63" s="7"/>
      <c r="H63" s="8"/>
      <c r="I63" s="7"/>
      <c r="J63" s="7"/>
      <c r="K63" s="7"/>
      <c r="L63" s="7"/>
      <c r="M63" s="7"/>
      <c r="N63" s="8"/>
      <c r="O63" s="8"/>
      <c r="P63" s="8"/>
      <c r="Q63" s="8"/>
      <c r="R63" s="7"/>
      <c r="S63" s="8"/>
      <c r="T63" s="6"/>
      <c r="U63" s="6"/>
      <c r="V63" s="6"/>
      <c r="W63" s="6"/>
    </row>
    <row r="64" spans="1:23" x14ac:dyDescent="0.25">
      <c r="D64" s="6"/>
      <c r="E64" s="7"/>
      <c r="F64" s="7"/>
      <c r="G64" s="7"/>
      <c r="H64" s="8"/>
      <c r="I64" s="7"/>
      <c r="J64" s="7"/>
      <c r="K64" s="7"/>
      <c r="L64" s="8"/>
      <c r="M64" s="7"/>
      <c r="N64" s="8"/>
      <c r="O64" s="8"/>
      <c r="P64" s="8"/>
      <c r="Q64" s="8"/>
      <c r="R64" s="7"/>
      <c r="S64" s="8"/>
      <c r="T64" s="6"/>
      <c r="U64" s="6"/>
      <c r="V64" s="6"/>
      <c r="W64" s="6"/>
    </row>
    <row r="65" spans="4:23" x14ac:dyDescent="0.25">
      <c r="D65" s="6"/>
      <c r="E65" s="7"/>
      <c r="F65" s="7"/>
      <c r="G65" s="7"/>
      <c r="H65" s="8"/>
      <c r="I65" s="7"/>
      <c r="J65" s="7"/>
      <c r="K65" s="7"/>
      <c r="L65" s="8"/>
      <c r="M65" s="7"/>
      <c r="N65" s="8"/>
      <c r="O65" s="8"/>
      <c r="P65" s="8"/>
      <c r="Q65" s="8"/>
      <c r="R65" s="7"/>
      <c r="S65" s="8"/>
      <c r="T65" s="6"/>
      <c r="U65" s="6"/>
      <c r="V65" s="6"/>
      <c r="W65" s="6"/>
    </row>
    <row r="66" spans="4:23" x14ac:dyDescent="0.25">
      <c r="D66" s="6"/>
      <c r="E66" s="7"/>
      <c r="F66" s="7"/>
      <c r="G66" s="7"/>
      <c r="H66" s="8"/>
      <c r="I66" s="7"/>
      <c r="J66" s="7"/>
      <c r="K66" s="7"/>
      <c r="L66" s="8"/>
      <c r="M66" s="7"/>
      <c r="N66" s="8"/>
      <c r="O66" s="8"/>
      <c r="P66" s="8"/>
      <c r="Q66" s="8"/>
      <c r="R66" s="7"/>
      <c r="S66" s="8"/>
      <c r="T66" s="6"/>
      <c r="U66" s="6"/>
      <c r="V66" s="6"/>
      <c r="W66" s="6"/>
    </row>
    <row r="67" spans="4:23" x14ac:dyDescent="0.25">
      <c r="D67" s="6"/>
      <c r="E67" s="7"/>
      <c r="F67" s="7"/>
      <c r="G67" s="7"/>
      <c r="H67" s="8"/>
      <c r="I67" s="7"/>
      <c r="J67" s="7"/>
      <c r="K67" s="7"/>
      <c r="L67" s="8"/>
      <c r="M67" s="7"/>
      <c r="N67" s="8"/>
      <c r="O67" s="8"/>
      <c r="P67" s="8"/>
      <c r="Q67" s="8"/>
      <c r="R67" s="7"/>
      <c r="S67" s="8"/>
      <c r="T67" s="6"/>
      <c r="U67" s="6"/>
      <c r="V67" s="6"/>
      <c r="W67" s="6"/>
    </row>
    <row r="68" spans="4:23" x14ac:dyDescent="0.25">
      <c r="D68" s="6"/>
      <c r="E68" s="7"/>
      <c r="F68" s="7"/>
      <c r="G68" s="7"/>
      <c r="H68" s="8"/>
      <c r="I68" s="7"/>
      <c r="J68" s="7"/>
      <c r="K68" s="7"/>
      <c r="L68" s="8"/>
      <c r="M68" s="7"/>
      <c r="N68" s="8"/>
      <c r="O68" s="8"/>
      <c r="P68" s="8"/>
      <c r="Q68" s="8"/>
      <c r="R68" s="7"/>
      <c r="S68" s="8"/>
      <c r="T68" s="6"/>
      <c r="U68" s="6"/>
      <c r="V68" s="6"/>
      <c r="W68" s="6"/>
    </row>
    <row r="69" spans="4:23" x14ac:dyDescent="0.25">
      <c r="D69" s="6"/>
      <c r="E69" s="9"/>
      <c r="F69" s="9"/>
      <c r="G69" s="10"/>
      <c r="H69" s="11"/>
      <c r="I69" s="7"/>
      <c r="J69" s="7"/>
      <c r="K69" s="7"/>
      <c r="L69" s="8"/>
      <c r="M69" s="7"/>
      <c r="N69" s="8"/>
      <c r="O69" s="8"/>
      <c r="P69" s="8"/>
      <c r="Q69" s="8"/>
      <c r="R69" s="7"/>
      <c r="S69" s="8"/>
      <c r="T69" s="6"/>
      <c r="U69" s="6"/>
      <c r="V69" s="6"/>
      <c r="W69" s="6"/>
    </row>
    <row r="70" spans="4:23" x14ac:dyDescent="0.25">
      <c r="D70" s="6"/>
      <c r="E70" s="9"/>
      <c r="F70" s="9"/>
      <c r="G70" s="9"/>
      <c r="H70" s="9"/>
      <c r="I70" s="7"/>
      <c r="J70" s="7"/>
      <c r="K70" s="7"/>
      <c r="L70" s="8"/>
      <c r="M70" s="7"/>
      <c r="N70" s="8"/>
      <c r="O70" s="8"/>
      <c r="P70" s="8"/>
      <c r="Q70" s="8"/>
      <c r="R70" s="7"/>
      <c r="S70" s="8"/>
      <c r="T70" s="6"/>
      <c r="U70" s="6"/>
      <c r="V70" s="6"/>
      <c r="W70" s="6"/>
    </row>
    <row r="71" spans="4:23" x14ac:dyDescent="0.25">
      <c r="D71" s="6"/>
      <c r="E71" s="7"/>
      <c r="F71" s="7"/>
      <c r="G71" s="10"/>
      <c r="H71" s="11"/>
      <c r="I71" s="7"/>
      <c r="J71" s="7"/>
      <c r="K71" s="7"/>
      <c r="L71" s="8"/>
      <c r="M71" s="7"/>
      <c r="N71" s="8"/>
      <c r="O71" s="8"/>
      <c r="P71" s="8"/>
      <c r="Q71" s="8"/>
      <c r="R71" s="7"/>
      <c r="S71" s="8"/>
      <c r="T71" s="6"/>
      <c r="U71" s="6"/>
      <c r="V71" s="6"/>
      <c r="W71" s="6"/>
    </row>
    <row r="72" spans="4:23" x14ac:dyDescent="0.25">
      <c r="D72" s="6"/>
      <c r="E72" s="7"/>
      <c r="F72" s="7"/>
      <c r="G72" s="10"/>
      <c r="H72" s="11"/>
      <c r="I72" s="7"/>
      <c r="J72" s="7"/>
      <c r="K72" s="7"/>
      <c r="L72" s="7"/>
      <c r="M72" s="7"/>
      <c r="N72" s="8"/>
      <c r="O72" s="8"/>
      <c r="P72" s="8"/>
      <c r="Q72" s="8"/>
      <c r="R72" s="7"/>
      <c r="S72" s="8"/>
      <c r="T72" s="6"/>
      <c r="U72" s="6"/>
      <c r="V72" s="6"/>
      <c r="W72" s="6"/>
    </row>
    <row r="73" spans="4:23" x14ac:dyDescent="0.25">
      <c r="D73" s="6"/>
      <c r="E73" s="7"/>
      <c r="F73" s="7"/>
      <c r="G73" s="7"/>
      <c r="H73" s="8"/>
      <c r="I73" s="7"/>
      <c r="J73" s="7"/>
      <c r="K73" s="7"/>
      <c r="L73" s="8"/>
      <c r="M73" s="7"/>
      <c r="N73" s="8"/>
      <c r="O73" s="8"/>
      <c r="P73" s="8"/>
      <c r="Q73" s="8"/>
      <c r="R73" s="7"/>
      <c r="S73" s="8"/>
      <c r="T73" s="6"/>
      <c r="U73" s="6"/>
      <c r="V73" s="6"/>
      <c r="W73" s="6"/>
    </row>
    <row r="74" spans="4:23" x14ac:dyDescent="0.25">
      <c r="D74" s="6"/>
      <c r="E74" s="7"/>
      <c r="F74" s="7"/>
      <c r="G74" s="7"/>
      <c r="H74" s="8"/>
      <c r="I74" s="7"/>
      <c r="J74" s="7"/>
      <c r="K74" s="7"/>
      <c r="L74" s="10"/>
      <c r="M74" s="7"/>
      <c r="N74" s="8"/>
      <c r="O74" s="8"/>
      <c r="P74" s="8"/>
      <c r="Q74" s="10"/>
      <c r="R74" s="7"/>
      <c r="S74" s="8"/>
      <c r="T74" s="6"/>
      <c r="U74" s="6"/>
      <c r="V74" s="6"/>
      <c r="W74" s="6"/>
    </row>
    <row r="75" spans="4:23" x14ac:dyDescent="0.25">
      <c r="D75" s="6"/>
      <c r="E75" s="7"/>
      <c r="F75" s="7"/>
      <c r="G75" s="7"/>
      <c r="H75" s="8"/>
      <c r="I75" s="10"/>
      <c r="J75" s="10"/>
      <c r="K75" s="10"/>
      <c r="L75" s="8"/>
      <c r="M75" s="7"/>
      <c r="N75" s="8"/>
      <c r="O75" s="8"/>
      <c r="P75" s="8"/>
      <c r="Q75" s="8"/>
      <c r="R75" s="7"/>
      <c r="S75" s="8"/>
      <c r="T75" s="6"/>
      <c r="U75" s="6"/>
      <c r="V75" s="6"/>
      <c r="W75" s="6"/>
    </row>
  </sheetData>
  <mergeCells count="13">
    <mergeCell ref="C52:D52"/>
    <mergeCell ref="C53:K53"/>
    <mergeCell ref="C54:K54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9" zoomScaleNormal="100" workbookViewId="0">
      <selection activeCell="E8" sqref="E8"/>
    </sheetView>
  </sheetViews>
  <sheetFormatPr defaultRowHeight="15" x14ac:dyDescent="0.25"/>
  <cols>
    <col min="3" max="3" width="38" customWidth="1"/>
    <col min="14" max="14" width="13.28515625" customWidth="1"/>
  </cols>
  <sheetData>
    <row r="1" spans="1:16" ht="15.75" x14ac:dyDescent="0.25">
      <c r="A1" s="417" t="s">
        <v>55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6" ht="15.75" x14ac:dyDescent="0.25">
      <c r="A2" s="417" t="s">
        <v>287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x14ac:dyDescent="0.25">
      <c r="A3" s="435" t="s">
        <v>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6" ht="15.75" x14ac:dyDescent="0.25">
      <c r="A4" s="12" t="s">
        <v>328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329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346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345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216">
        <f>P34</f>
        <v>37738.219894999995</v>
      </c>
      <c r="O9" s="18"/>
      <c r="P9" s="14"/>
    </row>
    <row r="10" spans="1:16" ht="16.5" thickBot="1" x14ac:dyDescent="0.3">
      <c r="A10" s="19" t="s">
        <v>378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6" t="s">
        <v>71</v>
      </c>
      <c r="B11" s="438" t="s">
        <v>3</v>
      </c>
      <c r="C11" s="440" t="s">
        <v>62</v>
      </c>
      <c r="D11" s="432" t="s">
        <v>4</v>
      </c>
      <c r="E11" s="432" t="s">
        <v>5</v>
      </c>
      <c r="F11" s="432" t="s">
        <v>6</v>
      </c>
      <c r="G11" s="432"/>
      <c r="H11" s="432"/>
      <c r="I11" s="432"/>
      <c r="J11" s="432"/>
      <c r="K11" s="432"/>
      <c r="L11" s="432" t="s">
        <v>7</v>
      </c>
      <c r="M11" s="432"/>
      <c r="N11" s="432"/>
      <c r="O11" s="432"/>
      <c r="P11" s="434"/>
    </row>
    <row r="12" spans="1:16" ht="48" x14ac:dyDescent="0.25">
      <c r="A12" s="437"/>
      <c r="B12" s="439"/>
      <c r="C12" s="441"/>
      <c r="D12" s="433"/>
      <c r="E12" s="433"/>
      <c r="F12" s="370" t="s">
        <v>8</v>
      </c>
      <c r="G12" s="370" t="s">
        <v>197</v>
      </c>
      <c r="H12" s="370" t="s">
        <v>198</v>
      </c>
      <c r="I12" s="370" t="s">
        <v>199</v>
      </c>
      <c r="J12" s="370" t="s">
        <v>200</v>
      </c>
      <c r="K12" s="370" t="s">
        <v>201</v>
      </c>
      <c r="L12" s="370" t="s">
        <v>9</v>
      </c>
      <c r="M12" s="370" t="s">
        <v>198</v>
      </c>
      <c r="N12" s="370" t="s">
        <v>199</v>
      </c>
      <c r="O12" s="370" t="s">
        <v>200</v>
      </c>
      <c r="P12" s="371" t="s">
        <v>202</v>
      </c>
    </row>
    <row r="13" spans="1:16" ht="15.75" thickBot="1" x14ac:dyDescent="0.3">
      <c r="A13" s="372">
        <v>1</v>
      </c>
      <c r="B13" s="373">
        <v>2</v>
      </c>
      <c r="C13" s="373">
        <v>3</v>
      </c>
      <c r="D13" s="373">
        <v>4</v>
      </c>
      <c r="E13" s="373">
        <v>5</v>
      </c>
      <c r="F13" s="373">
        <v>6</v>
      </c>
      <c r="G13" s="373">
        <v>7</v>
      </c>
      <c r="H13" s="373">
        <v>8</v>
      </c>
      <c r="I13" s="373">
        <v>9</v>
      </c>
      <c r="J13" s="373">
        <v>10</v>
      </c>
      <c r="K13" s="373">
        <v>11</v>
      </c>
      <c r="L13" s="373">
        <v>12</v>
      </c>
      <c r="M13" s="373">
        <v>13</v>
      </c>
      <c r="N13" s="373">
        <v>14</v>
      </c>
      <c r="O13" s="373">
        <v>15</v>
      </c>
      <c r="P13" s="375">
        <v>16</v>
      </c>
    </row>
    <row r="14" spans="1:16" x14ac:dyDescent="0.25">
      <c r="A14" s="399">
        <v>1</v>
      </c>
      <c r="B14" s="207" t="s">
        <v>167</v>
      </c>
      <c r="C14" s="400" t="s">
        <v>39</v>
      </c>
      <c r="D14" s="401" t="s">
        <v>332</v>
      </c>
      <c r="E14" s="402">
        <v>1198.56</v>
      </c>
      <c r="F14" s="403">
        <v>0.5</v>
      </c>
      <c r="G14" s="403">
        <v>5.5</v>
      </c>
      <c r="H14" s="404">
        <f t="shared" ref="H14:H24" si="0">G14*F14</f>
        <v>2.75</v>
      </c>
      <c r="I14" s="405"/>
      <c r="J14" s="405"/>
      <c r="K14" s="364">
        <f t="shared" ref="K14:K28" si="1">SUM(H14:J14)</f>
        <v>2.75</v>
      </c>
      <c r="L14" s="406">
        <f t="shared" ref="L14:L24" si="2">E14*F14</f>
        <v>599.28</v>
      </c>
      <c r="M14" s="407">
        <f t="shared" ref="M14:M24" si="3">E14*H14</f>
        <v>3296.04</v>
      </c>
      <c r="N14" s="407"/>
      <c r="O14" s="407"/>
      <c r="P14" s="408">
        <f t="shared" ref="P14:P28" si="4">SUM(M14:O14)</f>
        <v>3296.04</v>
      </c>
    </row>
    <row r="15" spans="1:16" x14ac:dyDescent="0.25">
      <c r="A15" s="85"/>
      <c r="B15" s="182"/>
      <c r="C15" s="195" t="s">
        <v>288</v>
      </c>
      <c r="D15" s="217" t="s">
        <v>332</v>
      </c>
      <c r="E15" s="93">
        <v>1198.56</v>
      </c>
      <c r="F15" s="184"/>
      <c r="G15" s="184"/>
      <c r="H15" s="218"/>
      <c r="I15" s="186">
        <v>17.190000000000001</v>
      </c>
      <c r="J15" s="185"/>
      <c r="K15" s="94">
        <f t="shared" si="1"/>
        <v>17.190000000000001</v>
      </c>
      <c r="L15" s="101"/>
      <c r="M15" s="88"/>
      <c r="N15" s="88">
        <f t="shared" ref="N15:N27" si="5">E15*I15</f>
        <v>20603.2464</v>
      </c>
      <c r="O15" s="88"/>
      <c r="P15" s="92">
        <f t="shared" si="4"/>
        <v>20603.2464</v>
      </c>
    </row>
    <row r="16" spans="1:16" x14ac:dyDescent="0.25">
      <c r="A16" s="85"/>
      <c r="B16" s="182"/>
      <c r="C16" s="195" t="s">
        <v>289</v>
      </c>
      <c r="D16" s="217" t="s">
        <v>290</v>
      </c>
      <c r="E16" s="93">
        <v>1.2</v>
      </c>
      <c r="F16" s="184"/>
      <c r="G16" s="184"/>
      <c r="H16" s="218"/>
      <c r="I16" s="186">
        <v>75.14</v>
      </c>
      <c r="J16" s="185"/>
      <c r="K16" s="94">
        <f t="shared" si="1"/>
        <v>75.14</v>
      </c>
      <c r="L16" s="101"/>
      <c r="M16" s="88"/>
      <c r="N16" s="88">
        <f t="shared" si="5"/>
        <v>90.167999999999992</v>
      </c>
      <c r="O16" s="88"/>
      <c r="P16" s="92">
        <f t="shared" si="4"/>
        <v>90.167999999999992</v>
      </c>
    </row>
    <row r="17" spans="1:16" x14ac:dyDescent="0.25">
      <c r="A17" s="85">
        <v>2</v>
      </c>
      <c r="B17" s="182" t="s">
        <v>168</v>
      </c>
      <c r="C17" s="194" t="s">
        <v>40</v>
      </c>
      <c r="D17" s="217" t="s">
        <v>332</v>
      </c>
      <c r="E17" s="93">
        <v>1382.87</v>
      </c>
      <c r="F17" s="193">
        <v>0.5</v>
      </c>
      <c r="G17" s="193">
        <v>5.5</v>
      </c>
      <c r="H17" s="218">
        <f t="shared" si="0"/>
        <v>2.75</v>
      </c>
      <c r="I17" s="185"/>
      <c r="J17" s="185"/>
      <c r="K17" s="94">
        <f t="shared" si="1"/>
        <v>2.75</v>
      </c>
      <c r="L17" s="101">
        <f t="shared" si="2"/>
        <v>691.43499999999995</v>
      </c>
      <c r="M17" s="88">
        <f t="shared" si="3"/>
        <v>3802.8924999999999</v>
      </c>
      <c r="N17" s="88"/>
      <c r="O17" s="88"/>
      <c r="P17" s="92">
        <f t="shared" si="4"/>
        <v>3802.8924999999999</v>
      </c>
    </row>
    <row r="18" spans="1:16" ht="26.25" x14ac:dyDescent="0.25">
      <c r="A18" s="85"/>
      <c r="B18" s="182"/>
      <c r="C18" s="195" t="s">
        <v>291</v>
      </c>
      <c r="D18" s="217" t="s">
        <v>332</v>
      </c>
      <c r="E18" s="93">
        <v>1382.87</v>
      </c>
      <c r="F18" s="184"/>
      <c r="G18" s="184"/>
      <c r="H18" s="218"/>
      <c r="I18" s="186">
        <v>5.05</v>
      </c>
      <c r="J18" s="185"/>
      <c r="K18" s="94">
        <f t="shared" si="1"/>
        <v>5.05</v>
      </c>
      <c r="L18" s="101"/>
      <c r="M18" s="88"/>
      <c r="N18" s="88">
        <f t="shared" si="5"/>
        <v>6983.4934999999996</v>
      </c>
      <c r="O18" s="88"/>
      <c r="P18" s="92">
        <f t="shared" si="4"/>
        <v>6983.4934999999996</v>
      </c>
    </row>
    <row r="19" spans="1:16" x14ac:dyDescent="0.25">
      <c r="A19" s="85"/>
      <c r="B19" s="182"/>
      <c r="C19" s="195" t="s">
        <v>292</v>
      </c>
      <c r="D19" s="219" t="s">
        <v>263</v>
      </c>
      <c r="E19" s="93">
        <v>0.65</v>
      </c>
      <c r="F19" s="184"/>
      <c r="G19" s="184"/>
      <c r="H19" s="218"/>
      <c r="I19" s="186">
        <v>141</v>
      </c>
      <c r="J19" s="185"/>
      <c r="K19" s="94">
        <f t="shared" si="1"/>
        <v>141</v>
      </c>
      <c r="L19" s="101"/>
      <c r="M19" s="88"/>
      <c r="N19" s="88">
        <f t="shared" si="5"/>
        <v>91.65</v>
      </c>
      <c r="O19" s="88"/>
      <c r="P19" s="92">
        <f t="shared" si="4"/>
        <v>91.65</v>
      </c>
    </row>
    <row r="20" spans="1:16" x14ac:dyDescent="0.25">
      <c r="A20" s="85">
        <v>3</v>
      </c>
      <c r="B20" s="182" t="s">
        <v>170</v>
      </c>
      <c r="C20" s="194" t="s">
        <v>89</v>
      </c>
      <c r="D20" s="219" t="s">
        <v>61</v>
      </c>
      <c r="E20" s="93">
        <v>14</v>
      </c>
      <c r="F20" s="193">
        <v>0.5</v>
      </c>
      <c r="G20" s="193">
        <v>5.5</v>
      </c>
      <c r="H20" s="218">
        <f t="shared" ref="H20" si="6">G20*F20</f>
        <v>2.75</v>
      </c>
      <c r="I20" s="186"/>
      <c r="J20" s="185"/>
      <c r="K20" s="94">
        <f t="shared" si="1"/>
        <v>2.75</v>
      </c>
      <c r="L20" s="101">
        <f t="shared" ref="L20" si="7">E20*F20</f>
        <v>7</v>
      </c>
      <c r="M20" s="88">
        <f t="shared" ref="M20" si="8">E20*H20</f>
        <v>38.5</v>
      </c>
      <c r="N20" s="88"/>
      <c r="O20" s="88"/>
      <c r="P20" s="92">
        <f t="shared" si="4"/>
        <v>38.5</v>
      </c>
    </row>
    <row r="21" spans="1:16" x14ac:dyDescent="0.25">
      <c r="A21" s="85"/>
      <c r="B21" s="182"/>
      <c r="C21" s="195" t="s">
        <v>178</v>
      </c>
      <c r="D21" s="219" t="s">
        <v>61</v>
      </c>
      <c r="E21" s="93">
        <v>41</v>
      </c>
      <c r="F21" s="193"/>
      <c r="G21" s="193"/>
      <c r="H21" s="218"/>
      <c r="I21" s="186">
        <v>3.98</v>
      </c>
      <c r="J21" s="185"/>
      <c r="K21" s="94">
        <f t="shared" si="1"/>
        <v>3.98</v>
      </c>
      <c r="L21" s="101"/>
      <c r="M21" s="88"/>
      <c r="N21" s="88">
        <f t="shared" si="5"/>
        <v>163.18</v>
      </c>
      <c r="O21" s="88"/>
      <c r="P21" s="92">
        <f t="shared" si="4"/>
        <v>163.18</v>
      </c>
    </row>
    <row r="22" spans="1:16" x14ac:dyDescent="0.25">
      <c r="A22" s="85"/>
      <c r="B22" s="182"/>
      <c r="C22" s="195" t="s">
        <v>179</v>
      </c>
      <c r="D22" s="219" t="s">
        <v>65</v>
      </c>
      <c r="E22" s="93">
        <v>20</v>
      </c>
      <c r="F22" s="193"/>
      <c r="G22" s="193"/>
      <c r="H22" s="218"/>
      <c r="I22" s="186">
        <v>2.06</v>
      </c>
      <c r="J22" s="185"/>
      <c r="K22" s="94">
        <f t="shared" si="1"/>
        <v>2.06</v>
      </c>
      <c r="L22" s="101"/>
      <c r="M22" s="88"/>
      <c r="N22" s="88">
        <f t="shared" si="5"/>
        <v>41.2</v>
      </c>
      <c r="O22" s="88"/>
      <c r="P22" s="92">
        <f t="shared" si="4"/>
        <v>41.2</v>
      </c>
    </row>
    <row r="23" spans="1:16" x14ac:dyDescent="0.25">
      <c r="A23" s="85"/>
      <c r="B23" s="182"/>
      <c r="C23" s="195" t="s">
        <v>177</v>
      </c>
      <c r="D23" s="219" t="s">
        <v>65</v>
      </c>
      <c r="E23" s="93">
        <v>40</v>
      </c>
      <c r="F23" s="193"/>
      <c r="G23" s="193"/>
      <c r="H23" s="218"/>
      <c r="I23" s="186">
        <v>1.42</v>
      </c>
      <c r="J23" s="185"/>
      <c r="K23" s="94">
        <f t="shared" si="1"/>
        <v>1.42</v>
      </c>
      <c r="L23" s="101"/>
      <c r="M23" s="88"/>
      <c r="N23" s="88">
        <f t="shared" si="5"/>
        <v>56.8</v>
      </c>
      <c r="O23" s="88"/>
      <c r="P23" s="92">
        <f t="shared" si="4"/>
        <v>56.8</v>
      </c>
    </row>
    <row r="24" spans="1:16" x14ac:dyDescent="0.25">
      <c r="A24" s="85">
        <v>4</v>
      </c>
      <c r="B24" s="182" t="s">
        <v>169</v>
      </c>
      <c r="C24" s="194" t="s">
        <v>90</v>
      </c>
      <c r="D24" s="219" t="s">
        <v>61</v>
      </c>
      <c r="E24" s="93">
        <v>25</v>
      </c>
      <c r="F24" s="193">
        <v>0.6</v>
      </c>
      <c r="G24" s="220">
        <v>5.5</v>
      </c>
      <c r="H24" s="60">
        <f t="shared" si="0"/>
        <v>3.3</v>
      </c>
      <c r="I24" s="221"/>
      <c r="J24" s="185"/>
      <c r="K24" s="94">
        <f t="shared" si="1"/>
        <v>3.3</v>
      </c>
      <c r="L24" s="101">
        <f t="shared" si="2"/>
        <v>15</v>
      </c>
      <c r="M24" s="88">
        <f t="shared" si="3"/>
        <v>82.5</v>
      </c>
      <c r="N24" s="88"/>
      <c r="O24" s="88"/>
      <c r="P24" s="92">
        <f t="shared" si="4"/>
        <v>82.5</v>
      </c>
    </row>
    <row r="25" spans="1:16" x14ac:dyDescent="0.25">
      <c r="A25" s="85"/>
      <c r="B25" s="182"/>
      <c r="C25" s="222" t="s">
        <v>181</v>
      </c>
      <c r="D25" s="223" t="s">
        <v>61</v>
      </c>
      <c r="E25" s="186">
        <v>105.6</v>
      </c>
      <c r="F25" s="193"/>
      <c r="G25" s="220"/>
      <c r="H25" s="60"/>
      <c r="I25" s="221">
        <v>2.67</v>
      </c>
      <c r="J25" s="185"/>
      <c r="K25" s="94">
        <f t="shared" si="1"/>
        <v>2.67</v>
      </c>
      <c r="L25" s="101"/>
      <c r="M25" s="102"/>
      <c r="N25" s="88">
        <f t="shared" si="5"/>
        <v>281.952</v>
      </c>
      <c r="O25" s="91"/>
      <c r="P25" s="92">
        <f t="shared" si="4"/>
        <v>281.952</v>
      </c>
    </row>
    <row r="26" spans="1:16" x14ac:dyDescent="0.25">
      <c r="A26" s="85"/>
      <c r="B26" s="182"/>
      <c r="C26" s="222" t="s">
        <v>180</v>
      </c>
      <c r="D26" s="223" t="s">
        <v>65</v>
      </c>
      <c r="E26" s="186">
        <v>4</v>
      </c>
      <c r="F26" s="193"/>
      <c r="G26" s="220"/>
      <c r="H26" s="60"/>
      <c r="I26" s="221">
        <v>0.74</v>
      </c>
      <c r="J26" s="185"/>
      <c r="K26" s="94">
        <f t="shared" si="1"/>
        <v>0.74</v>
      </c>
      <c r="L26" s="101"/>
      <c r="M26" s="102"/>
      <c r="N26" s="88">
        <f t="shared" si="5"/>
        <v>2.96</v>
      </c>
      <c r="O26" s="91"/>
      <c r="P26" s="92">
        <f t="shared" si="4"/>
        <v>2.96</v>
      </c>
    </row>
    <row r="27" spans="1:16" x14ac:dyDescent="0.25">
      <c r="A27" s="85"/>
      <c r="B27" s="182"/>
      <c r="C27" s="222" t="s">
        <v>177</v>
      </c>
      <c r="D27" s="223" t="s">
        <v>65</v>
      </c>
      <c r="E27" s="186">
        <v>35</v>
      </c>
      <c r="F27" s="193"/>
      <c r="G27" s="220"/>
      <c r="H27" s="60"/>
      <c r="I27" s="221">
        <v>1.25</v>
      </c>
      <c r="J27" s="185"/>
      <c r="K27" s="94">
        <f t="shared" si="1"/>
        <v>1.25</v>
      </c>
      <c r="L27" s="101"/>
      <c r="M27" s="102"/>
      <c r="N27" s="88">
        <f t="shared" si="5"/>
        <v>43.75</v>
      </c>
      <c r="O27" s="88"/>
      <c r="P27" s="92">
        <f t="shared" si="4"/>
        <v>43.75</v>
      </c>
    </row>
    <row r="28" spans="1:16" x14ac:dyDescent="0.25">
      <c r="A28" s="85"/>
      <c r="B28" s="182"/>
      <c r="C28" s="222" t="s">
        <v>182</v>
      </c>
      <c r="D28" s="223" t="s">
        <v>87</v>
      </c>
      <c r="E28" s="186">
        <v>3</v>
      </c>
      <c r="F28" s="193"/>
      <c r="G28" s="220"/>
      <c r="H28" s="60"/>
      <c r="I28" s="221"/>
      <c r="J28" s="185">
        <v>62.2</v>
      </c>
      <c r="K28" s="94">
        <f t="shared" si="1"/>
        <v>62.2</v>
      </c>
      <c r="L28" s="101"/>
      <c r="M28" s="102"/>
      <c r="N28" s="224"/>
      <c r="O28" s="88">
        <f>E28*J28</f>
        <v>186.60000000000002</v>
      </c>
      <c r="P28" s="92">
        <f t="shared" si="4"/>
        <v>186.60000000000002</v>
      </c>
    </row>
    <row r="29" spans="1:16" x14ac:dyDescent="0.25">
      <c r="A29" s="85">
        <v>5</v>
      </c>
      <c r="B29" s="182"/>
      <c r="C29" s="194" t="s">
        <v>293</v>
      </c>
      <c r="D29" s="219" t="s">
        <v>294</v>
      </c>
      <c r="E29" s="93">
        <v>25</v>
      </c>
      <c r="F29" s="193">
        <v>0.6</v>
      </c>
      <c r="G29" s="220">
        <v>5.5</v>
      </c>
      <c r="H29" s="60">
        <f t="shared" ref="H29" si="9">G29*F29</f>
        <v>3.3</v>
      </c>
      <c r="I29" s="221"/>
      <c r="J29" s="185"/>
      <c r="K29" s="94">
        <f t="shared" ref="K29:K30" si="10">SUM(H29:J29)</f>
        <v>3.3</v>
      </c>
      <c r="L29" s="101">
        <f t="shared" ref="L29" si="11">E29*F29</f>
        <v>15</v>
      </c>
      <c r="M29" s="88">
        <f t="shared" ref="M29" si="12">E29*H29</f>
        <v>82.5</v>
      </c>
      <c r="N29" s="88"/>
      <c r="O29" s="88"/>
      <c r="P29" s="92">
        <f t="shared" ref="P29:P31" si="13">SUM(M29:O29)</f>
        <v>82.5</v>
      </c>
    </row>
    <row r="30" spans="1:16" x14ac:dyDescent="0.25">
      <c r="A30" s="85"/>
      <c r="B30" s="182"/>
      <c r="C30" s="222" t="s">
        <v>295</v>
      </c>
      <c r="D30" s="223" t="s">
        <v>294</v>
      </c>
      <c r="E30" s="186">
        <v>110</v>
      </c>
      <c r="F30" s="193"/>
      <c r="G30" s="220"/>
      <c r="H30" s="60"/>
      <c r="I30" s="221">
        <v>3.81</v>
      </c>
      <c r="J30" s="185"/>
      <c r="K30" s="94">
        <f t="shared" si="10"/>
        <v>3.81</v>
      </c>
      <c r="L30" s="101"/>
      <c r="M30" s="102"/>
      <c r="N30" s="88">
        <f t="shared" ref="N30:N31" si="14">E30*I30</f>
        <v>419.1</v>
      </c>
      <c r="O30" s="91"/>
      <c r="P30" s="92">
        <f t="shared" si="13"/>
        <v>419.1</v>
      </c>
    </row>
    <row r="31" spans="1:16" x14ac:dyDescent="0.25">
      <c r="A31" s="85"/>
      <c r="B31" s="182"/>
      <c r="C31" s="195" t="s">
        <v>296</v>
      </c>
      <c r="D31" s="219" t="s">
        <v>263</v>
      </c>
      <c r="E31" s="93">
        <v>0.25</v>
      </c>
      <c r="F31" s="184"/>
      <c r="G31" s="225"/>
      <c r="H31" s="60"/>
      <c r="I31" s="226">
        <v>125</v>
      </c>
      <c r="J31" s="185"/>
      <c r="K31" s="94">
        <v>117.25</v>
      </c>
      <c r="L31" s="101"/>
      <c r="M31" s="88"/>
      <c r="N31" s="88">
        <f t="shared" si="14"/>
        <v>31.25</v>
      </c>
      <c r="O31" s="88"/>
      <c r="P31" s="92">
        <f t="shared" si="13"/>
        <v>31.25</v>
      </c>
    </row>
    <row r="32" spans="1:16" x14ac:dyDescent="0.25">
      <c r="A32" s="65" t="s">
        <v>16</v>
      </c>
      <c r="B32" s="212" t="s">
        <v>16</v>
      </c>
      <c r="C32" s="416" t="s">
        <v>17</v>
      </c>
      <c r="D32" s="416"/>
      <c r="E32" s="227" t="s">
        <v>16</v>
      </c>
      <c r="F32" s="228" t="s">
        <v>16</v>
      </c>
      <c r="G32" s="228" t="s">
        <v>16</v>
      </c>
      <c r="H32" s="229" t="s">
        <v>16</v>
      </c>
      <c r="I32" s="228" t="s">
        <v>16</v>
      </c>
      <c r="J32" s="228" t="s">
        <v>16</v>
      </c>
      <c r="K32" s="228" t="s">
        <v>16</v>
      </c>
      <c r="L32" s="105">
        <f>SUM(L14:L28)</f>
        <v>1312.7149999999999</v>
      </c>
      <c r="M32" s="105">
        <f>SUM(M14:M28)</f>
        <v>7219.9324999999999</v>
      </c>
      <c r="N32" s="105">
        <f>SUM(N14:N31)</f>
        <v>28808.749900000003</v>
      </c>
      <c r="O32" s="230">
        <f>SUM(O14:O28)</f>
        <v>186.60000000000002</v>
      </c>
      <c r="P32" s="231">
        <f>SUM(P14:P31)</f>
        <v>36297.782399999996</v>
      </c>
    </row>
    <row r="33" spans="1:16" x14ac:dyDescent="0.25">
      <c r="A33" s="65" t="s">
        <v>16</v>
      </c>
      <c r="B33" s="68" t="s">
        <v>16</v>
      </c>
      <c r="C33" s="411" t="s">
        <v>18</v>
      </c>
      <c r="D33" s="412"/>
      <c r="E33" s="412"/>
      <c r="F33" s="412"/>
      <c r="G33" s="412"/>
      <c r="H33" s="412"/>
      <c r="I33" s="412"/>
      <c r="J33" s="412"/>
      <c r="K33" s="412"/>
      <c r="L33" s="66"/>
      <c r="M33" s="59"/>
      <c r="N33" s="59">
        <f>N32*0.05</f>
        <v>1440.4374950000001</v>
      </c>
      <c r="O33" s="190"/>
      <c r="P33" s="171">
        <f>N33</f>
        <v>1440.4374950000001</v>
      </c>
    </row>
    <row r="34" spans="1:16" ht="15.75" thickBot="1" x14ac:dyDescent="0.3">
      <c r="A34" s="69" t="s">
        <v>16</v>
      </c>
      <c r="B34" s="70" t="s">
        <v>16</v>
      </c>
      <c r="C34" s="413" t="s">
        <v>19</v>
      </c>
      <c r="D34" s="414"/>
      <c r="E34" s="414"/>
      <c r="F34" s="414"/>
      <c r="G34" s="414"/>
      <c r="H34" s="414"/>
      <c r="I34" s="414"/>
      <c r="J34" s="414"/>
      <c r="K34" s="414"/>
      <c r="L34" s="71"/>
      <c r="M34" s="72">
        <f>M32+M33</f>
        <v>7219.9324999999999</v>
      </c>
      <c r="N34" s="72">
        <f>N32+N33</f>
        <v>30249.187395000001</v>
      </c>
      <c r="O34" s="72">
        <f>O32+O33</f>
        <v>186.60000000000002</v>
      </c>
      <c r="P34" s="73">
        <f>P32+P33</f>
        <v>37738.219894999995</v>
      </c>
    </row>
    <row r="35" spans="1:16" x14ac:dyDescent="0.25">
      <c r="A35" s="19" t="s">
        <v>16</v>
      </c>
      <c r="B35" s="74" t="s">
        <v>16</v>
      </c>
      <c r="C35" s="74" t="s">
        <v>16</v>
      </c>
      <c r="D35" s="415" t="s">
        <v>16</v>
      </c>
      <c r="E35" s="415"/>
      <c r="F35" s="415" t="s">
        <v>16</v>
      </c>
      <c r="G35" s="415"/>
      <c r="H35" s="415"/>
      <c r="I35" s="415" t="s">
        <v>16</v>
      </c>
      <c r="J35" s="415"/>
      <c r="K35" s="74" t="s">
        <v>16</v>
      </c>
      <c r="L35" s="74" t="s">
        <v>16</v>
      </c>
      <c r="M35" s="74" t="s">
        <v>16</v>
      </c>
      <c r="N35" s="75"/>
      <c r="O35" s="14"/>
      <c r="P35" s="14" t="s">
        <v>16</v>
      </c>
    </row>
    <row r="36" spans="1:16" x14ac:dyDescent="0.25">
      <c r="A36" s="19" t="s">
        <v>20</v>
      </c>
      <c r="B36" s="76"/>
      <c r="C36" s="77"/>
      <c r="D36" s="14"/>
      <c r="E36" s="14"/>
      <c r="F36" s="14"/>
      <c r="G36" s="19" t="s">
        <v>21</v>
      </c>
      <c r="H36" s="78"/>
      <c r="I36" s="77"/>
      <c r="J36" s="77"/>
      <c r="K36" s="76"/>
      <c r="L36" s="76"/>
      <c r="M36" s="76"/>
      <c r="N36" s="76"/>
      <c r="O36" s="76"/>
      <c r="P36" s="14"/>
    </row>
    <row r="37" spans="1:16" x14ac:dyDescent="0.25">
      <c r="A37" s="79"/>
      <c r="B37" s="80"/>
      <c r="C37" s="81" t="s">
        <v>22</v>
      </c>
      <c r="D37" s="14"/>
      <c r="E37" s="14"/>
      <c r="F37" s="14"/>
      <c r="G37" s="80"/>
      <c r="H37" s="80"/>
      <c r="I37" s="81" t="s">
        <v>22</v>
      </c>
      <c r="J37" s="80"/>
      <c r="K37" s="80"/>
      <c r="L37" s="80"/>
      <c r="M37" s="80"/>
      <c r="N37" s="80"/>
      <c r="O37" s="14"/>
      <c r="P37" s="14"/>
    </row>
  </sheetData>
  <mergeCells count="16">
    <mergeCell ref="C32:D32"/>
    <mergeCell ref="C33:K33"/>
    <mergeCell ref="C34:K34"/>
    <mergeCell ref="D35:E35"/>
    <mergeCell ref="F35:H35"/>
    <mergeCell ref="I35:J35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28" zoomScaleNormal="100" workbookViewId="0">
      <selection activeCell="F8" sqref="F8"/>
    </sheetView>
  </sheetViews>
  <sheetFormatPr defaultRowHeight="15" x14ac:dyDescent="0.25"/>
  <cols>
    <col min="3" max="3" width="38.85546875" customWidth="1"/>
    <col min="14" max="14" width="11.5703125" customWidth="1"/>
  </cols>
  <sheetData>
    <row r="1" spans="1:16" ht="15.75" x14ac:dyDescent="0.25">
      <c r="A1" s="417" t="s">
        <v>54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</row>
    <row r="2" spans="1:16" ht="15.75" x14ac:dyDescent="0.25">
      <c r="A2" s="417" t="s">
        <v>42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</row>
    <row r="3" spans="1:16" x14ac:dyDescent="0.25">
      <c r="A3" s="435" t="s">
        <v>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6" ht="15.75" x14ac:dyDescent="0.25">
      <c r="A4" s="12" t="s">
        <v>328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12" t="s">
        <v>329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5.75" x14ac:dyDescent="0.25">
      <c r="A6" s="12" t="s">
        <v>346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5.75" x14ac:dyDescent="0.25">
      <c r="A7" s="12" t="s">
        <v>1</v>
      </c>
      <c r="B7" s="13"/>
      <c r="C7" s="15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5.75" x14ac:dyDescent="0.25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x14ac:dyDescent="0.25">
      <c r="A9" s="15" t="s">
        <v>345</v>
      </c>
      <c r="B9" s="14"/>
      <c r="C9" s="14"/>
      <c r="D9" s="14"/>
      <c r="E9" s="14"/>
      <c r="F9" s="14"/>
      <c r="G9" s="14"/>
      <c r="H9" s="14"/>
      <c r="I9" s="14"/>
      <c r="J9" s="14"/>
      <c r="K9" s="16"/>
      <c r="L9" s="16" t="s">
        <v>2</v>
      </c>
      <c r="M9" s="16"/>
      <c r="N9" s="17">
        <f>P36</f>
        <v>16778.459865000001</v>
      </c>
      <c r="O9" s="18"/>
      <c r="P9" s="14"/>
    </row>
    <row r="10" spans="1:16" ht="16.5" thickBot="1" x14ac:dyDescent="0.3">
      <c r="A10" s="19" t="s">
        <v>378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436" t="s">
        <v>71</v>
      </c>
      <c r="B11" s="438" t="s">
        <v>3</v>
      </c>
      <c r="C11" s="440" t="s">
        <v>62</v>
      </c>
      <c r="D11" s="432" t="s">
        <v>4</v>
      </c>
      <c r="E11" s="432" t="s">
        <v>5</v>
      </c>
      <c r="F11" s="432" t="s">
        <v>6</v>
      </c>
      <c r="G11" s="432"/>
      <c r="H11" s="432"/>
      <c r="I11" s="432"/>
      <c r="J11" s="432"/>
      <c r="K11" s="432"/>
      <c r="L11" s="432" t="s">
        <v>7</v>
      </c>
      <c r="M11" s="432"/>
      <c r="N11" s="432"/>
      <c r="O11" s="432"/>
      <c r="P11" s="434"/>
    </row>
    <row r="12" spans="1:16" ht="48" x14ac:dyDescent="0.25">
      <c r="A12" s="437"/>
      <c r="B12" s="439"/>
      <c r="C12" s="441"/>
      <c r="D12" s="433"/>
      <c r="E12" s="433"/>
      <c r="F12" s="370" t="s">
        <v>8</v>
      </c>
      <c r="G12" s="370" t="s">
        <v>197</v>
      </c>
      <c r="H12" s="370" t="s">
        <v>198</v>
      </c>
      <c r="I12" s="370" t="s">
        <v>199</v>
      </c>
      <c r="J12" s="370" t="s">
        <v>200</v>
      </c>
      <c r="K12" s="370" t="s">
        <v>201</v>
      </c>
      <c r="L12" s="370" t="s">
        <v>9</v>
      </c>
      <c r="M12" s="370" t="s">
        <v>198</v>
      </c>
      <c r="N12" s="370" t="s">
        <v>199</v>
      </c>
      <c r="O12" s="370" t="s">
        <v>200</v>
      </c>
      <c r="P12" s="371" t="s">
        <v>202</v>
      </c>
    </row>
    <row r="13" spans="1:16" ht="15.75" thickBot="1" x14ac:dyDescent="0.3">
      <c r="A13" s="372">
        <v>1</v>
      </c>
      <c r="B13" s="373">
        <v>2</v>
      </c>
      <c r="C13" s="373">
        <v>3</v>
      </c>
      <c r="D13" s="373">
        <v>4</v>
      </c>
      <c r="E13" s="373">
        <v>5</v>
      </c>
      <c r="F13" s="373">
        <v>6</v>
      </c>
      <c r="G13" s="373">
        <v>7</v>
      </c>
      <c r="H13" s="373">
        <v>8</v>
      </c>
      <c r="I13" s="373">
        <v>9</v>
      </c>
      <c r="J13" s="373">
        <v>10</v>
      </c>
      <c r="K13" s="373">
        <v>11</v>
      </c>
      <c r="L13" s="373">
        <v>12</v>
      </c>
      <c r="M13" s="373">
        <v>13</v>
      </c>
      <c r="N13" s="373">
        <v>14</v>
      </c>
      <c r="O13" s="373">
        <v>15</v>
      </c>
      <c r="P13" s="375">
        <v>16</v>
      </c>
    </row>
    <row r="14" spans="1:16" ht="38.25" x14ac:dyDescent="0.25">
      <c r="A14" s="85" t="s">
        <v>10</v>
      </c>
      <c r="B14" s="66" t="s">
        <v>183</v>
      </c>
      <c r="C14" s="232" t="s">
        <v>43</v>
      </c>
      <c r="D14" s="219" t="s">
        <v>331</v>
      </c>
      <c r="E14" s="183">
        <v>8.43</v>
      </c>
      <c r="F14" s="193">
        <v>0.86</v>
      </c>
      <c r="G14" s="193">
        <v>5.5</v>
      </c>
      <c r="H14" s="186">
        <f t="shared" ref="H14:H29" si="0">G14*F14</f>
        <v>4.7299999999999995</v>
      </c>
      <c r="I14" s="186"/>
      <c r="J14" s="186"/>
      <c r="K14" s="94">
        <f>SUM(H14:J14)</f>
        <v>4.7299999999999995</v>
      </c>
      <c r="L14" s="95">
        <f>E14*F14</f>
        <v>7.2497999999999996</v>
      </c>
      <c r="M14" s="88">
        <f>E14*H14</f>
        <v>39.873899999999992</v>
      </c>
      <c r="N14" s="88"/>
      <c r="O14" s="102"/>
      <c r="P14" s="89">
        <f t="shared" ref="P14:P31" si="1">SUM(M14:O14)</f>
        <v>39.873899999999992</v>
      </c>
    </row>
    <row r="15" spans="1:16" x14ac:dyDescent="0.25">
      <c r="A15" s="85"/>
      <c r="B15" s="182"/>
      <c r="C15" s="195" t="s">
        <v>82</v>
      </c>
      <c r="D15" s="217" t="s">
        <v>81</v>
      </c>
      <c r="E15" s="87">
        <v>1</v>
      </c>
      <c r="F15" s="193"/>
      <c r="G15" s="193"/>
      <c r="H15" s="58"/>
      <c r="I15" s="186"/>
      <c r="J15" s="186">
        <v>35</v>
      </c>
      <c r="K15" s="190">
        <f>SUM(H15:J15)</f>
        <v>35</v>
      </c>
      <c r="L15" s="95"/>
      <c r="M15" s="88"/>
      <c r="N15" s="91"/>
      <c r="O15" s="62">
        <f t="shared" ref="O15" si="2">E15*J15</f>
        <v>35</v>
      </c>
      <c r="P15" s="92">
        <f t="shared" si="1"/>
        <v>35</v>
      </c>
    </row>
    <row r="16" spans="1:16" ht="38.25" x14ac:dyDescent="0.25">
      <c r="A16" s="85" t="s">
        <v>11</v>
      </c>
      <c r="B16" s="66" t="s">
        <v>183</v>
      </c>
      <c r="C16" s="232" t="s">
        <v>44</v>
      </c>
      <c r="D16" s="219" t="s">
        <v>331</v>
      </c>
      <c r="E16" s="87">
        <v>6.32</v>
      </c>
      <c r="F16" s="193">
        <v>0.86</v>
      </c>
      <c r="G16" s="193">
        <v>5.5</v>
      </c>
      <c r="H16" s="58">
        <f t="shared" si="0"/>
        <v>4.7299999999999995</v>
      </c>
      <c r="I16" s="186"/>
      <c r="J16" s="186"/>
      <c r="K16" s="190">
        <f>SUM(H16:J16)</f>
        <v>4.7299999999999995</v>
      </c>
      <c r="L16" s="95">
        <f>E16*F16</f>
        <v>5.4352</v>
      </c>
      <c r="M16" s="88">
        <f>E16*H16</f>
        <v>29.893599999999999</v>
      </c>
      <c r="N16" s="91"/>
      <c r="O16" s="62"/>
      <c r="P16" s="92">
        <f t="shared" si="1"/>
        <v>29.893599999999999</v>
      </c>
    </row>
    <row r="17" spans="1:16" x14ac:dyDescent="0.25">
      <c r="A17" s="85"/>
      <c r="B17" s="182"/>
      <c r="C17" s="191" t="s">
        <v>45</v>
      </c>
      <c r="D17" s="192" t="s">
        <v>68</v>
      </c>
      <c r="E17" s="82">
        <v>56.9</v>
      </c>
      <c r="F17" s="193"/>
      <c r="G17" s="193"/>
      <c r="H17" s="58"/>
      <c r="I17" s="186">
        <v>4.3499999999999996</v>
      </c>
      <c r="J17" s="186"/>
      <c r="K17" s="190">
        <f t="shared" ref="K17:K31" si="3">SUM(H17:J17)</f>
        <v>4.3499999999999996</v>
      </c>
      <c r="L17" s="95"/>
      <c r="M17" s="88"/>
      <c r="N17" s="91">
        <f t="shared" ref="N17:N31" si="4">E17*I17</f>
        <v>247.51499999999999</v>
      </c>
      <c r="O17" s="62"/>
      <c r="P17" s="92">
        <f t="shared" si="1"/>
        <v>247.51499999999999</v>
      </c>
    </row>
    <row r="18" spans="1:16" x14ac:dyDescent="0.25">
      <c r="A18" s="85"/>
      <c r="B18" s="233"/>
      <c r="C18" s="195" t="s">
        <v>82</v>
      </c>
      <c r="D18" s="234" t="s">
        <v>81</v>
      </c>
      <c r="E18" s="82">
        <v>2</v>
      </c>
      <c r="F18" s="193"/>
      <c r="G18" s="193"/>
      <c r="H18" s="58"/>
      <c r="I18" s="186"/>
      <c r="J18" s="186">
        <v>35</v>
      </c>
      <c r="K18" s="190">
        <f t="shared" ref="K18" si="5">SUM(H18:J18)</f>
        <v>35</v>
      </c>
      <c r="L18" s="95"/>
      <c r="M18" s="88"/>
      <c r="N18" s="91"/>
      <c r="O18" s="62">
        <f t="shared" ref="O18" si="6">E18*J18</f>
        <v>70</v>
      </c>
      <c r="P18" s="92">
        <f t="shared" ref="P18" si="7">SUM(M18:O18)</f>
        <v>70</v>
      </c>
    </row>
    <row r="19" spans="1:16" ht="15.75" x14ac:dyDescent="0.25">
      <c r="A19" s="85">
        <v>3</v>
      </c>
      <c r="B19" s="233" t="s">
        <v>171</v>
      </c>
      <c r="C19" s="235" t="s">
        <v>297</v>
      </c>
      <c r="D19" s="192" t="s">
        <v>332</v>
      </c>
      <c r="E19" s="90">
        <v>100.52</v>
      </c>
      <c r="F19" s="193">
        <v>0.1</v>
      </c>
      <c r="G19" s="193">
        <v>5.5</v>
      </c>
      <c r="H19" s="58">
        <f t="shared" si="0"/>
        <v>0.55000000000000004</v>
      </c>
      <c r="I19" s="186"/>
      <c r="J19" s="186"/>
      <c r="K19" s="190">
        <f t="shared" si="3"/>
        <v>0.55000000000000004</v>
      </c>
      <c r="L19" s="95">
        <f t="shared" ref="L19:L29" si="8">E19*F19</f>
        <v>10.052</v>
      </c>
      <c r="M19" s="88">
        <f t="shared" ref="M19:M29" si="9">E19*H19</f>
        <v>55.286000000000001</v>
      </c>
      <c r="N19" s="91"/>
      <c r="O19" s="62"/>
      <c r="P19" s="92">
        <f t="shared" si="1"/>
        <v>55.286000000000001</v>
      </c>
    </row>
    <row r="20" spans="1:16" ht="26.25" x14ac:dyDescent="0.25">
      <c r="A20" s="85"/>
      <c r="B20" s="233"/>
      <c r="C20" s="236" t="s">
        <v>298</v>
      </c>
      <c r="D20" s="192" t="s">
        <v>332</v>
      </c>
      <c r="E20" s="90">
        <f>E19</f>
        <v>100.52</v>
      </c>
      <c r="F20" s="193"/>
      <c r="G20" s="193"/>
      <c r="H20" s="58"/>
      <c r="I20" s="186">
        <v>0.45</v>
      </c>
      <c r="J20" s="186"/>
      <c r="K20" s="190">
        <f t="shared" si="3"/>
        <v>0.45</v>
      </c>
      <c r="L20" s="95"/>
      <c r="M20" s="88"/>
      <c r="N20" s="91">
        <f t="shared" si="4"/>
        <v>45.234000000000002</v>
      </c>
      <c r="O20" s="62"/>
      <c r="P20" s="92">
        <f t="shared" si="1"/>
        <v>45.234000000000002</v>
      </c>
    </row>
    <row r="21" spans="1:16" ht="15.75" x14ac:dyDescent="0.25">
      <c r="A21" s="85">
        <v>4</v>
      </c>
      <c r="B21" s="182" t="s">
        <v>172</v>
      </c>
      <c r="C21" s="235" t="s">
        <v>39</v>
      </c>
      <c r="D21" s="192" t="s">
        <v>332</v>
      </c>
      <c r="E21" s="93">
        <v>69</v>
      </c>
      <c r="F21" s="193">
        <v>0.18</v>
      </c>
      <c r="G21" s="193">
        <v>5.5</v>
      </c>
      <c r="H21" s="58">
        <f t="shared" si="0"/>
        <v>0.99</v>
      </c>
      <c r="I21" s="186"/>
      <c r="J21" s="186"/>
      <c r="K21" s="190">
        <f t="shared" si="3"/>
        <v>0.99</v>
      </c>
      <c r="L21" s="95">
        <f t="shared" si="8"/>
        <v>12.42</v>
      </c>
      <c r="M21" s="88">
        <f t="shared" si="9"/>
        <v>68.31</v>
      </c>
      <c r="N21" s="91"/>
      <c r="O21" s="62"/>
      <c r="P21" s="92">
        <f t="shared" si="1"/>
        <v>68.31</v>
      </c>
    </row>
    <row r="22" spans="1:16" ht="15.75" x14ac:dyDescent="0.25">
      <c r="A22" s="85"/>
      <c r="B22" s="182"/>
      <c r="C22" s="195" t="s">
        <v>299</v>
      </c>
      <c r="D22" s="192" t="s">
        <v>332</v>
      </c>
      <c r="E22" s="93">
        <v>100.52</v>
      </c>
      <c r="F22" s="193"/>
      <c r="G22" s="193"/>
      <c r="H22" s="58"/>
      <c r="I22" s="186">
        <v>6.48</v>
      </c>
      <c r="J22" s="186"/>
      <c r="K22" s="190">
        <f t="shared" si="3"/>
        <v>6.48</v>
      </c>
      <c r="L22" s="95"/>
      <c r="M22" s="88"/>
      <c r="N22" s="91">
        <f t="shared" si="4"/>
        <v>651.36959999999999</v>
      </c>
      <c r="O22" s="62"/>
      <c r="P22" s="92">
        <f t="shared" si="1"/>
        <v>651.36959999999999</v>
      </c>
    </row>
    <row r="23" spans="1:16" ht="26.25" x14ac:dyDescent="0.25">
      <c r="A23" s="85">
        <v>5</v>
      </c>
      <c r="B23" s="86" t="s">
        <v>173</v>
      </c>
      <c r="C23" s="194" t="s">
        <v>46</v>
      </c>
      <c r="D23" s="192" t="s">
        <v>331</v>
      </c>
      <c r="E23" s="93">
        <v>42.38</v>
      </c>
      <c r="F23" s="193">
        <v>5.28</v>
      </c>
      <c r="G23" s="193">
        <v>5.5</v>
      </c>
      <c r="H23" s="58">
        <f t="shared" si="0"/>
        <v>29.040000000000003</v>
      </c>
      <c r="I23" s="186"/>
      <c r="J23" s="186"/>
      <c r="K23" s="190">
        <f t="shared" si="3"/>
        <v>29.040000000000003</v>
      </c>
      <c r="L23" s="95">
        <f t="shared" si="8"/>
        <v>223.76640000000003</v>
      </c>
      <c r="M23" s="88">
        <f t="shared" si="9"/>
        <v>1230.7152000000001</v>
      </c>
      <c r="N23" s="91"/>
      <c r="O23" s="62"/>
      <c r="P23" s="92">
        <f t="shared" si="1"/>
        <v>1230.7152000000001</v>
      </c>
    </row>
    <row r="24" spans="1:16" ht="15.75" x14ac:dyDescent="0.25">
      <c r="A24" s="85"/>
      <c r="B24" s="182"/>
      <c r="C24" s="195" t="s">
        <v>300</v>
      </c>
      <c r="D24" s="192" t="s">
        <v>331</v>
      </c>
      <c r="E24" s="93">
        <f>E23</f>
        <v>42.38</v>
      </c>
      <c r="F24" s="193"/>
      <c r="G24" s="193"/>
      <c r="H24" s="58"/>
      <c r="I24" s="186">
        <v>57.99</v>
      </c>
      <c r="J24" s="186"/>
      <c r="K24" s="190">
        <f t="shared" si="3"/>
        <v>57.99</v>
      </c>
      <c r="L24" s="95"/>
      <c r="M24" s="88"/>
      <c r="N24" s="91">
        <f t="shared" si="4"/>
        <v>2457.6162000000004</v>
      </c>
      <c r="O24" s="62"/>
      <c r="P24" s="92">
        <f t="shared" si="1"/>
        <v>2457.6162000000004</v>
      </c>
    </row>
    <row r="25" spans="1:16" x14ac:dyDescent="0.25">
      <c r="A25" s="85"/>
      <c r="B25" s="182"/>
      <c r="C25" s="191" t="s">
        <v>47</v>
      </c>
      <c r="D25" s="192" t="s">
        <v>68</v>
      </c>
      <c r="E25" s="93">
        <v>2.23</v>
      </c>
      <c r="F25" s="193"/>
      <c r="G25" s="193"/>
      <c r="H25" s="58"/>
      <c r="I25" s="186">
        <v>457.75</v>
      </c>
      <c r="J25" s="186"/>
      <c r="K25" s="190">
        <f t="shared" si="3"/>
        <v>457.75</v>
      </c>
      <c r="L25" s="95"/>
      <c r="M25" s="88"/>
      <c r="N25" s="91">
        <f t="shared" si="4"/>
        <v>1020.7825</v>
      </c>
      <c r="O25" s="62"/>
      <c r="P25" s="92">
        <f t="shared" si="1"/>
        <v>1020.7825</v>
      </c>
    </row>
    <row r="26" spans="1:16" x14ac:dyDescent="0.25">
      <c r="A26" s="85"/>
      <c r="B26" s="182"/>
      <c r="C26" s="195" t="s">
        <v>78</v>
      </c>
      <c r="D26" s="192" t="s">
        <v>65</v>
      </c>
      <c r="E26" s="93">
        <v>800</v>
      </c>
      <c r="F26" s="193"/>
      <c r="G26" s="193"/>
      <c r="H26" s="58"/>
      <c r="I26" s="186">
        <v>6.3200000000000006E-2</v>
      </c>
      <c r="J26" s="186"/>
      <c r="K26" s="190">
        <f t="shared" si="3"/>
        <v>6.3200000000000006E-2</v>
      </c>
      <c r="L26" s="95"/>
      <c r="M26" s="88"/>
      <c r="N26" s="91">
        <f t="shared" si="4"/>
        <v>50.56</v>
      </c>
      <c r="O26" s="62"/>
      <c r="P26" s="92">
        <f t="shared" si="1"/>
        <v>50.56</v>
      </c>
    </row>
    <row r="27" spans="1:16" x14ac:dyDescent="0.25">
      <c r="A27" s="85"/>
      <c r="B27" s="182"/>
      <c r="C27" s="195" t="s">
        <v>155</v>
      </c>
      <c r="D27" s="192" t="s">
        <v>72</v>
      </c>
      <c r="E27" s="93">
        <v>5</v>
      </c>
      <c r="F27" s="193"/>
      <c r="G27" s="193"/>
      <c r="H27" s="58"/>
      <c r="I27" s="100"/>
      <c r="J27" s="58">
        <v>65</v>
      </c>
      <c r="K27" s="190">
        <f t="shared" si="3"/>
        <v>65</v>
      </c>
      <c r="L27" s="95"/>
      <c r="M27" s="88"/>
      <c r="N27" s="91">
        <f t="shared" si="4"/>
        <v>0</v>
      </c>
      <c r="O27" s="91">
        <f>E27*J27</f>
        <v>325</v>
      </c>
      <c r="P27" s="92">
        <f t="shared" si="1"/>
        <v>325</v>
      </c>
    </row>
    <row r="28" spans="1:16" ht="14.25" customHeight="1" x14ac:dyDescent="0.25">
      <c r="A28" s="85"/>
      <c r="B28" s="182"/>
      <c r="C28" s="128" t="s">
        <v>156</v>
      </c>
      <c r="D28" s="44" t="s">
        <v>72</v>
      </c>
      <c r="E28" s="45">
        <v>5</v>
      </c>
      <c r="F28" s="46"/>
      <c r="G28" s="46"/>
      <c r="H28" s="45"/>
      <c r="I28" s="45"/>
      <c r="J28" s="45">
        <v>30</v>
      </c>
      <c r="K28" s="46">
        <f t="shared" ref="K28" si="10">SUM(H28:J28)</f>
        <v>30</v>
      </c>
      <c r="L28" s="47"/>
      <c r="M28" s="48"/>
      <c r="N28" s="48"/>
      <c r="O28" s="48">
        <f t="shared" ref="O28" si="11">E28*J28</f>
        <v>150</v>
      </c>
      <c r="P28" s="48">
        <f t="shared" si="1"/>
        <v>150</v>
      </c>
    </row>
    <row r="29" spans="1:16" ht="15.75" x14ac:dyDescent="0.25">
      <c r="A29" s="85">
        <v>6</v>
      </c>
      <c r="B29" s="182"/>
      <c r="C29" s="194" t="s">
        <v>301</v>
      </c>
      <c r="D29" s="192" t="s">
        <v>332</v>
      </c>
      <c r="E29" s="93">
        <v>460</v>
      </c>
      <c r="F29" s="193">
        <v>0.5</v>
      </c>
      <c r="G29" s="193">
        <v>5.5</v>
      </c>
      <c r="H29" s="58">
        <f t="shared" si="0"/>
        <v>2.75</v>
      </c>
      <c r="I29" s="186"/>
      <c r="J29" s="186"/>
      <c r="K29" s="190">
        <f t="shared" si="3"/>
        <v>2.75</v>
      </c>
      <c r="L29" s="95">
        <f t="shared" si="8"/>
        <v>230</v>
      </c>
      <c r="M29" s="88">
        <f t="shared" si="9"/>
        <v>1265</v>
      </c>
      <c r="N29" s="91"/>
      <c r="O29" s="62"/>
      <c r="P29" s="92">
        <f t="shared" si="1"/>
        <v>1265</v>
      </c>
    </row>
    <row r="30" spans="1:16" x14ac:dyDescent="0.25">
      <c r="A30" s="85"/>
      <c r="B30" s="182"/>
      <c r="C30" s="195" t="s">
        <v>302</v>
      </c>
      <c r="D30" s="192" t="s">
        <v>65</v>
      </c>
      <c r="E30" s="93">
        <v>298</v>
      </c>
      <c r="F30" s="193"/>
      <c r="G30" s="193"/>
      <c r="H30" s="58"/>
      <c r="I30" s="186">
        <v>19.25</v>
      </c>
      <c r="J30" s="186"/>
      <c r="K30" s="190">
        <f t="shared" si="3"/>
        <v>19.25</v>
      </c>
      <c r="L30" s="95"/>
      <c r="M30" s="88"/>
      <c r="N30" s="91">
        <f t="shared" si="4"/>
        <v>5736.5</v>
      </c>
      <c r="O30" s="62"/>
      <c r="P30" s="92">
        <f t="shared" si="1"/>
        <v>5736.5</v>
      </c>
    </row>
    <row r="31" spans="1:16" x14ac:dyDescent="0.25">
      <c r="A31" s="85"/>
      <c r="B31" s="182"/>
      <c r="C31" s="195" t="s">
        <v>303</v>
      </c>
      <c r="D31" s="192" t="s">
        <v>65</v>
      </c>
      <c r="E31" s="93">
        <v>115</v>
      </c>
      <c r="F31" s="193"/>
      <c r="G31" s="193"/>
      <c r="H31" s="58"/>
      <c r="I31" s="186">
        <v>23.1</v>
      </c>
      <c r="J31" s="186"/>
      <c r="K31" s="190">
        <f t="shared" si="3"/>
        <v>23.1</v>
      </c>
      <c r="L31" s="95"/>
      <c r="M31" s="88"/>
      <c r="N31" s="91">
        <f t="shared" si="4"/>
        <v>2656.5</v>
      </c>
      <c r="O31" s="62"/>
      <c r="P31" s="92">
        <f t="shared" si="1"/>
        <v>2656.5</v>
      </c>
    </row>
    <row r="32" spans="1:16" x14ac:dyDescent="0.25">
      <c r="A32" s="85"/>
      <c r="B32" s="182"/>
      <c r="C32" s="195" t="s">
        <v>304</v>
      </c>
      <c r="D32" s="203" t="s">
        <v>65</v>
      </c>
      <c r="E32" s="93">
        <v>21</v>
      </c>
      <c r="F32" s="193"/>
      <c r="G32" s="193"/>
      <c r="H32" s="58"/>
      <c r="I32" s="186">
        <v>24.64</v>
      </c>
      <c r="J32" s="186"/>
      <c r="K32" s="190">
        <f t="shared" ref="K32:K33" si="12">SUM(H32:J32)</f>
        <v>24.64</v>
      </c>
      <c r="L32" s="95"/>
      <c r="M32" s="88"/>
      <c r="N32" s="91">
        <f t="shared" ref="N32:N33" si="13">E32*I32</f>
        <v>517.44000000000005</v>
      </c>
      <c r="O32" s="62"/>
      <c r="P32" s="92">
        <f t="shared" ref="P32:P33" si="14">SUM(M32:O32)</f>
        <v>517.44000000000005</v>
      </c>
    </row>
    <row r="33" spans="1:16" x14ac:dyDescent="0.25">
      <c r="A33" s="85"/>
      <c r="B33" s="182"/>
      <c r="C33" s="195" t="s">
        <v>305</v>
      </c>
      <c r="D33" s="203" t="s">
        <v>65</v>
      </c>
      <c r="E33" s="93">
        <v>79</v>
      </c>
      <c r="F33" s="193"/>
      <c r="G33" s="193"/>
      <c r="H33" s="58"/>
      <c r="I33" s="186">
        <v>15.4</v>
      </c>
      <c r="J33" s="186"/>
      <c r="K33" s="190">
        <f t="shared" si="12"/>
        <v>15.4</v>
      </c>
      <c r="L33" s="95"/>
      <c r="M33" s="88"/>
      <c r="N33" s="91">
        <f t="shared" si="13"/>
        <v>1216.6000000000001</v>
      </c>
      <c r="O33" s="62"/>
      <c r="P33" s="92">
        <f t="shared" si="14"/>
        <v>1216.6000000000001</v>
      </c>
    </row>
    <row r="34" spans="1:16" x14ac:dyDescent="0.25">
      <c r="A34" s="65" t="s">
        <v>16</v>
      </c>
      <c r="B34" s="212" t="s">
        <v>16</v>
      </c>
      <c r="C34" s="416" t="s">
        <v>17</v>
      </c>
      <c r="D34" s="416"/>
      <c r="E34" s="103" t="s">
        <v>16</v>
      </c>
      <c r="F34" s="103" t="s">
        <v>16</v>
      </c>
      <c r="G34" s="103" t="s">
        <v>16</v>
      </c>
      <c r="H34" s="103" t="s">
        <v>16</v>
      </c>
      <c r="I34" s="103" t="s">
        <v>16</v>
      </c>
      <c r="J34" s="103" t="s">
        <v>16</v>
      </c>
      <c r="K34" s="103" t="s">
        <v>16</v>
      </c>
      <c r="L34" s="105">
        <f>SUM(L14:L31)</f>
        <v>488.92340000000002</v>
      </c>
      <c r="M34" s="105">
        <f>SUM(M14:M31)</f>
        <v>2689.0787</v>
      </c>
      <c r="N34" s="105">
        <f>SUM(N14:N31)</f>
        <v>12866.077300000001</v>
      </c>
      <c r="O34" s="106">
        <f>SUM(O14:O31)</f>
        <v>580</v>
      </c>
      <c r="P34" s="107">
        <f>SUM(P14:P31)</f>
        <v>16135.156000000001</v>
      </c>
    </row>
    <row r="35" spans="1:16" x14ac:dyDescent="0.25">
      <c r="A35" s="65" t="s">
        <v>16</v>
      </c>
      <c r="B35" s="68" t="s">
        <v>16</v>
      </c>
      <c r="C35" s="411" t="s">
        <v>18</v>
      </c>
      <c r="D35" s="412"/>
      <c r="E35" s="412"/>
      <c r="F35" s="412"/>
      <c r="G35" s="412"/>
      <c r="H35" s="412"/>
      <c r="I35" s="412"/>
      <c r="J35" s="412"/>
      <c r="K35" s="412"/>
      <c r="L35" s="66"/>
      <c r="M35" s="59"/>
      <c r="N35" s="59">
        <f>N34*0.05</f>
        <v>643.30386500000009</v>
      </c>
      <c r="O35" s="190"/>
      <c r="P35" s="171">
        <f>N35</f>
        <v>643.30386500000009</v>
      </c>
    </row>
    <row r="36" spans="1:16" ht="15.75" thickBot="1" x14ac:dyDescent="0.3">
      <c r="A36" s="69" t="s">
        <v>16</v>
      </c>
      <c r="B36" s="70" t="s">
        <v>16</v>
      </c>
      <c r="C36" s="413" t="s">
        <v>19</v>
      </c>
      <c r="D36" s="414"/>
      <c r="E36" s="414"/>
      <c r="F36" s="414"/>
      <c r="G36" s="414"/>
      <c r="H36" s="414"/>
      <c r="I36" s="414"/>
      <c r="J36" s="414"/>
      <c r="K36" s="414"/>
      <c r="L36" s="71"/>
      <c r="M36" s="72">
        <f>M34+M35</f>
        <v>2689.0787</v>
      </c>
      <c r="N36" s="72">
        <f>N34+N35</f>
        <v>13509.381165000001</v>
      </c>
      <c r="O36" s="72">
        <f>O34+O35</f>
        <v>580</v>
      </c>
      <c r="P36" s="73">
        <f>P34+P35</f>
        <v>16778.459865000001</v>
      </c>
    </row>
    <row r="37" spans="1:16" x14ac:dyDescent="0.25">
      <c r="A37" s="19" t="s">
        <v>16</v>
      </c>
      <c r="B37" s="74" t="s">
        <v>16</v>
      </c>
      <c r="C37" s="74" t="s">
        <v>16</v>
      </c>
      <c r="D37" s="415" t="s">
        <v>16</v>
      </c>
      <c r="E37" s="415"/>
      <c r="F37" s="415" t="s">
        <v>16</v>
      </c>
      <c r="G37" s="415"/>
      <c r="H37" s="415"/>
      <c r="I37" s="415" t="s">
        <v>16</v>
      </c>
      <c r="J37" s="415"/>
      <c r="K37" s="74" t="s">
        <v>16</v>
      </c>
      <c r="L37" s="74" t="s">
        <v>16</v>
      </c>
      <c r="M37" s="74" t="s">
        <v>16</v>
      </c>
      <c r="N37" s="75"/>
      <c r="O37" s="14"/>
      <c r="P37" s="14" t="s">
        <v>16</v>
      </c>
    </row>
    <row r="38" spans="1:16" x14ac:dyDescent="0.25">
      <c r="A38" s="19" t="s">
        <v>20</v>
      </c>
      <c r="B38" s="76"/>
      <c r="C38" s="77"/>
      <c r="D38" s="14"/>
      <c r="E38" s="14"/>
      <c r="F38" s="14"/>
      <c r="G38" s="19" t="s">
        <v>21</v>
      </c>
      <c r="H38" s="78"/>
      <c r="I38" s="77"/>
      <c r="J38" s="77"/>
      <c r="K38" s="76"/>
      <c r="L38" s="76"/>
      <c r="M38" s="76"/>
      <c r="N38" s="76"/>
      <c r="O38" s="76"/>
      <c r="P38" s="14"/>
    </row>
    <row r="39" spans="1:16" x14ac:dyDescent="0.25">
      <c r="A39" s="79"/>
      <c r="B39" s="80"/>
      <c r="C39" s="81" t="s">
        <v>22</v>
      </c>
      <c r="D39" s="14"/>
      <c r="E39" s="14"/>
      <c r="F39" s="14"/>
      <c r="G39" s="80"/>
      <c r="H39" s="80"/>
      <c r="I39" s="81" t="s">
        <v>22</v>
      </c>
      <c r="J39" s="80"/>
      <c r="K39" s="80"/>
      <c r="L39" s="80"/>
      <c r="M39" s="80"/>
      <c r="N39" s="80"/>
      <c r="O39" s="14"/>
      <c r="P39" s="14"/>
    </row>
  </sheetData>
  <mergeCells count="16">
    <mergeCell ref="C34:D34"/>
    <mergeCell ref="C35:K35"/>
    <mergeCell ref="C36:K36"/>
    <mergeCell ref="D37:E37"/>
    <mergeCell ref="F37:H37"/>
    <mergeCell ref="I37:J37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C7" sqref="C7"/>
    </sheetView>
  </sheetViews>
  <sheetFormatPr defaultRowHeight="15" x14ac:dyDescent="0.25"/>
  <cols>
    <col min="3" max="3" width="38.85546875" customWidth="1"/>
    <col min="14" max="14" width="11" customWidth="1"/>
  </cols>
  <sheetData>
    <row r="1" spans="1:16" ht="15.75" x14ac:dyDescent="0.25">
      <c r="A1" s="446" t="s">
        <v>53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</row>
    <row r="2" spans="1:16" ht="15.75" x14ac:dyDescent="0.25">
      <c r="A2" s="446" t="s">
        <v>48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</row>
    <row r="3" spans="1:16" x14ac:dyDescent="0.25">
      <c r="A3" s="447" t="s">
        <v>0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</row>
    <row r="4" spans="1:16" ht="15.75" x14ac:dyDescent="0.25">
      <c r="A4" s="12" t="s">
        <v>328</v>
      </c>
      <c r="B4" s="238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</row>
    <row r="5" spans="1:16" ht="15.75" x14ac:dyDescent="0.25">
      <c r="A5" s="12" t="s">
        <v>329</v>
      </c>
      <c r="B5" s="238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</row>
    <row r="6" spans="1:16" ht="15.75" x14ac:dyDescent="0.25">
      <c r="A6" s="12" t="s">
        <v>346</v>
      </c>
      <c r="B6" s="238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</row>
    <row r="7" spans="1:16" ht="15.75" x14ac:dyDescent="0.25">
      <c r="A7" s="12" t="s">
        <v>1</v>
      </c>
      <c r="B7" s="238"/>
      <c r="C7" s="240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</row>
    <row r="8" spans="1:16" ht="15.75" x14ac:dyDescent="0.25">
      <c r="A8" s="12"/>
      <c r="B8" s="238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</row>
    <row r="9" spans="1:16" x14ac:dyDescent="0.25">
      <c r="A9" s="15" t="s">
        <v>345</v>
      </c>
      <c r="B9" s="239"/>
      <c r="C9" s="239"/>
      <c r="D9" s="239"/>
      <c r="E9" s="239"/>
      <c r="F9" s="239"/>
      <c r="G9" s="239"/>
      <c r="H9" s="239"/>
      <c r="I9" s="239"/>
      <c r="J9" s="239"/>
      <c r="K9" s="241"/>
      <c r="L9" s="241" t="s">
        <v>2</v>
      </c>
      <c r="M9" s="241"/>
      <c r="N9" s="242">
        <f>P54</f>
        <v>5143.6433099999995</v>
      </c>
      <c r="O9" s="243"/>
      <c r="P9" s="239"/>
    </row>
    <row r="10" spans="1:16" ht="16.5" thickBot="1" x14ac:dyDescent="0.3">
      <c r="A10" s="19" t="s">
        <v>378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</row>
    <row r="11" spans="1:16" x14ac:dyDescent="0.25">
      <c r="A11" s="436" t="s">
        <v>71</v>
      </c>
      <c r="B11" s="438" t="s">
        <v>3</v>
      </c>
      <c r="C11" s="440" t="s">
        <v>62</v>
      </c>
      <c r="D11" s="432" t="s">
        <v>4</v>
      </c>
      <c r="E11" s="432" t="s">
        <v>5</v>
      </c>
      <c r="F11" s="432" t="s">
        <v>6</v>
      </c>
      <c r="G11" s="432"/>
      <c r="H11" s="432"/>
      <c r="I11" s="432"/>
      <c r="J11" s="432"/>
      <c r="K11" s="432"/>
      <c r="L11" s="432" t="s">
        <v>7</v>
      </c>
      <c r="M11" s="432"/>
      <c r="N11" s="432"/>
      <c r="O11" s="432"/>
      <c r="P11" s="434"/>
    </row>
    <row r="12" spans="1:16" ht="48" x14ac:dyDescent="0.25">
      <c r="A12" s="437"/>
      <c r="B12" s="439"/>
      <c r="C12" s="441"/>
      <c r="D12" s="433"/>
      <c r="E12" s="433"/>
      <c r="F12" s="370" t="s">
        <v>8</v>
      </c>
      <c r="G12" s="370" t="s">
        <v>197</v>
      </c>
      <c r="H12" s="370" t="s">
        <v>198</v>
      </c>
      <c r="I12" s="370" t="s">
        <v>199</v>
      </c>
      <c r="J12" s="370" t="s">
        <v>200</v>
      </c>
      <c r="K12" s="370" t="s">
        <v>201</v>
      </c>
      <c r="L12" s="370" t="s">
        <v>9</v>
      </c>
      <c r="M12" s="370" t="s">
        <v>198</v>
      </c>
      <c r="N12" s="370" t="s">
        <v>199</v>
      </c>
      <c r="O12" s="370" t="s">
        <v>200</v>
      </c>
      <c r="P12" s="371" t="s">
        <v>202</v>
      </c>
    </row>
    <row r="13" spans="1:16" ht="15.75" thickBot="1" x14ac:dyDescent="0.3">
      <c r="A13" s="372">
        <v>1</v>
      </c>
      <c r="B13" s="373">
        <v>2</v>
      </c>
      <c r="C13" s="373">
        <v>3</v>
      </c>
      <c r="D13" s="373">
        <v>4</v>
      </c>
      <c r="E13" s="373">
        <v>5</v>
      </c>
      <c r="F13" s="373">
        <v>6</v>
      </c>
      <c r="G13" s="373">
        <v>7</v>
      </c>
      <c r="H13" s="373">
        <v>8</v>
      </c>
      <c r="I13" s="373">
        <v>9</v>
      </c>
      <c r="J13" s="373">
        <v>10</v>
      </c>
      <c r="K13" s="373">
        <v>11</v>
      </c>
      <c r="L13" s="373">
        <v>12</v>
      </c>
      <c r="M13" s="373">
        <v>13</v>
      </c>
      <c r="N13" s="373">
        <v>14</v>
      </c>
      <c r="O13" s="373">
        <v>15</v>
      </c>
      <c r="P13" s="375">
        <v>16</v>
      </c>
    </row>
    <row r="14" spans="1:16" x14ac:dyDescent="0.25">
      <c r="A14" s="244"/>
      <c r="B14" s="245"/>
      <c r="C14" s="246" t="s">
        <v>49</v>
      </c>
      <c r="D14" s="245"/>
      <c r="E14" s="247"/>
      <c r="F14" s="120"/>
      <c r="G14" s="248"/>
      <c r="H14" s="120"/>
      <c r="I14" s="120"/>
      <c r="J14" s="120"/>
      <c r="K14" s="120"/>
      <c r="L14" s="120"/>
      <c r="M14" s="120"/>
      <c r="N14" s="120"/>
      <c r="O14" s="120"/>
      <c r="P14" s="249"/>
    </row>
    <row r="15" spans="1:16" ht="26.25" x14ac:dyDescent="0.25">
      <c r="A15" s="31" t="s">
        <v>10</v>
      </c>
      <c r="B15" s="151" t="s">
        <v>174</v>
      </c>
      <c r="C15" s="156" t="s">
        <v>334</v>
      </c>
      <c r="D15" s="151" t="s">
        <v>65</v>
      </c>
      <c r="E15" s="153">
        <v>5</v>
      </c>
      <c r="F15" s="37">
        <v>2.6</v>
      </c>
      <c r="G15" s="37">
        <v>5.5</v>
      </c>
      <c r="H15" s="38">
        <f t="shared" ref="H15:H49" si="0">G15*F15</f>
        <v>14.3</v>
      </c>
      <c r="I15" s="250"/>
      <c r="J15" s="250"/>
      <c r="K15" s="46">
        <f>SUM(H15:J15)</f>
        <v>14.3</v>
      </c>
      <c r="L15" s="47">
        <f>E15*F15</f>
        <v>13</v>
      </c>
      <c r="M15" s="48">
        <f>E15*H15</f>
        <v>71.5</v>
      </c>
      <c r="N15" s="48"/>
      <c r="O15" s="48"/>
      <c r="P15" s="251">
        <f t="shared" ref="P15" si="1">SUM(M15:O15)</f>
        <v>71.5</v>
      </c>
    </row>
    <row r="16" spans="1:16" x14ac:dyDescent="0.25">
      <c r="A16" s="31"/>
      <c r="B16" s="151"/>
      <c r="C16" s="152" t="s">
        <v>306</v>
      </c>
      <c r="D16" s="151" t="s">
        <v>65</v>
      </c>
      <c r="E16" s="157">
        <v>5</v>
      </c>
      <c r="F16" s="37"/>
      <c r="G16" s="37"/>
      <c r="H16" s="38"/>
      <c r="I16" s="250">
        <v>95</v>
      </c>
      <c r="J16" s="250"/>
      <c r="K16" s="46">
        <f>SUM(H16:J16)</f>
        <v>95</v>
      </c>
      <c r="L16" s="47"/>
      <c r="M16" s="48"/>
      <c r="N16" s="48">
        <f t="shared" ref="N16:N51" si="2">E16*I16</f>
        <v>475</v>
      </c>
      <c r="O16" s="48"/>
      <c r="P16" s="251">
        <f t="shared" ref="P16:P51" si="3">SUM(M16:O16)</f>
        <v>475</v>
      </c>
    </row>
    <row r="17" spans="1:16" x14ac:dyDescent="0.25">
      <c r="A17" s="31"/>
      <c r="B17" s="151"/>
      <c r="C17" s="252" t="s">
        <v>83</v>
      </c>
      <c r="D17" s="151" t="s">
        <v>61</v>
      </c>
      <c r="E17" s="149">
        <v>2.4</v>
      </c>
      <c r="F17" s="37"/>
      <c r="G17" s="37"/>
      <c r="H17" s="38"/>
      <c r="I17" s="250">
        <v>4.7699999999999996</v>
      </c>
      <c r="J17" s="250"/>
      <c r="K17" s="46">
        <f t="shared" ref="K17:K51" si="4">SUM(H17:J17)</f>
        <v>4.7699999999999996</v>
      </c>
      <c r="L17" s="47"/>
      <c r="M17" s="48"/>
      <c r="N17" s="48">
        <f t="shared" si="2"/>
        <v>11.447999999999999</v>
      </c>
      <c r="O17" s="48"/>
      <c r="P17" s="251">
        <f t="shared" si="3"/>
        <v>11.447999999999999</v>
      </c>
    </row>
    <row r="18" spans="1:16" x14ac:dyDescent="0.25">
      <c r="A18" s="31"/>
      <c r="B18" s="151"/>
      <c r="C18" s="144" t="s">
        <v>50</v>
      </c>
      <c r="D18" s="151" t="s">
        <v>65</v>
      </c>
      <c r="E18" s="253">
        <v>20</v>
      </c>
      <c r="F18" s="37"/>
      <c r="G18" s="37"/>
      <c r="H18" s="38"/>
      <c r="I18" s="250">
        <v>0.32</v>
      </c>
      <c r="J18" s="250"/>
      <c r="K18" s="46">
        <f t="shared" si="4"/>
        <v>0.32</v>
      </c>
      <c r="L18" s="47"/>
      <c r="M18" s="48"/>
      <c r="N18" s="48">
        <f t="shared" si="2"/>
        <v>6.4</v>
      </c>
      <c r="O18" s="48"/>
      <c r="P18" s="251">
        <f t="shared" si="3"/>
        <v>6.4</v>
      </c>
    </row>
    <row r="19" spans="1:16" x14ac:dyDescent="0.25">
      <c r="A19" s="31"/>
      <c r="B19" s="49"/>
      <c r="C19" s="128" t="s">
        <v>86</v>
      </c>
      <c r="D19" s="146" t="s">
        <v>69</v>
      </c>
      <c r="E19" s="253">
        <v>20</v>
      </c>
      <c r="F19" s="37"/>
      <c r="G19" s="37"/>
      <c r="H19" s="38"/>
      <c r="I19" s="250">
        <v>1.28</v>
      </c>
      <c r="J19" s="250"/>
      <c r="K19" s="46">
        <f t="shared" si="4"/>
        <v>1.28</v>
      </c>
      <c r="L19" s="47"/>
      <c r="M19" s="48"/>
      <c r="N19" s="48">
        <f t="shared" si="2"/>
        <v>25.6</v>
      </c>
      <c r="O19" s="48"/>
      <c r="P19" s="251">
        <f t="shared" si="3"/>
        <v>25.6</v>
      </c>
    </row>
    <row r="20" spans="1:16" ht="26.25" x14ac:dyDescent="0.25">
      <c r="A20" s="31"/>
      <c r="B20" s="151"/>
      <c r="C20" s="152" t="s">
        <v>84</v>
      </c>
      <c r="D20" s="151" t="s">
        <v>65</v>
      </c>
      <c r="E20" s="254">
        <v>4</v>
      </c>
      <c r="F20" s="46"/>
      <c r="G20" s="46"/>
      <c r="H20" s="38"/>
      <c r="I20" s="250">
        <v>3.04</v>
      </c>
      <c r="J20" s="250"/>
      <c r="K20" s="46">
        <f t="shared" si="4"/>
        <v>3.04</v>
      </c>
      <c r="L20" s="47"/>
      <c r="M20" s="48"/>
      <c r="N20" s="48">
        <f t="shared" si="2"/>
        <v>12.16</v>
      </c>
      <c r="O20" s="48"/>
      <c r="P20" s="251">
        <f t="shared" si="3"/>
        <v>12.16</v>
      </c>
    </row>
    <row r="21" spans="1:16" x14ac:dyDescent="0.25">
      <c r="A21" s="31"/>
      <c r="B21" s="151"/>
      <c r="C21" s="152" t="s">
        <v>85</v>
      </c>
      <c r="D21" s="151" t="s">
        <v>65</v>
      </c>
      <c r="E21" s="254">
        <v>1</v>
      </c>
      <c r="F21" s="46"/>
      <c r="G21" s="46"/>
      <c r="H21" s="38"/>
      <c r="I21" s="250">
        <v>15</v>
      </c>
      <c r="J21" s="250"/>
      <c r="K21" s="46">
        <f t="shared" si="4"/>
        <v>15</v>
      </c>
      <c r="L21" s="47"/>
      <c r="M21" s="48"/>
      <c r="N21" s="48">
        <f t="shared" si="2"/>
        <v>15</v>
      </c>
      <c r="O21" s="48"/>
      <c r="P21" s="251">
        <f t="shared" si="3"/>
        <v>15</v>
      </c>
    </row>
    <row r="22" spans="1:16" x14ac:dyDescent="0.25">
      <c r="A22" s="31"/>
      <c r="B22" s="151"/>
      <c r="C22" s="255" t="s">
        <v>51</v>
      </c>
      <c r="D22" s="151"/>
      <c r="E22" s="254"/>
      <c r="F22" s="46"/>
      <c r="G22" s="46"/>
      <c r="H22" s="38"/>
      <c r="I22" s="250"/>
      <c r="J22" s="250"/>
      <c r="K22" s="46"/>
      <c r="L22" s="47"/>
      <c r="M22" s="48"/>
      <c r="N22" s="48"/>
      <c r="O22" s="48"/>
      <c r="P22" s="251"/>
    </row>
    <row r="23" spans="1:16" ht="26.25" x14ac:dyDescent="0.25">
      <c r="A23" s="31">
        <v>2</v>
      </c>
      <c r="B23" s="151" t="s">
        <v>175</v>
      </c>
      <c r="C23" s="156" t="s">
        <v>307</v>
      </c>
      <c r="D23" s="151" t="s">
        <v>65</v>
      </c>
      <c r="E23" s="254">
        <v>2</v>
      </c>
      <c r="F23" s="46">
        <v>2.7</v>
      </c>
      <c r="G23" s="46">
        <v>5.5</v>
      </c>
      <c r="H23" s="38">
        <f t="shared" si="0"/>
        <v>14.850000000000001</v>
      </c>
      <c r="I23" s="250"/>
      <c r="J23" s="250"/>
      <c r="K23" s="46">
        <f t="shared" si="4"/>
        <v>14.850000000000001</v>
      </c>
      <c r="L23" s="47">
        <f t="shared" ref="L23:L49" si="5">E23*F23</f>
        <v>5.4</v>
      </c>
      <c r="M23" s="48">
        <f t="shared" ref="M23:M49" si="6">E23*H23</f>
        <v>29.700000000000003</v>
      </c>
      <c r="N23" s="48"/>
      <c r="O23" s="48"/>
      <c r="P23" s="251">
        <f t="shared" si="3"/>
        <v>29.700000000000003</v>
      </c>
    </row>
    <row r="24" spans="1:16" x14ac:dyDescent="0.25">
      <c r="A24" s="31"/>
      <c r="B24" s="151"/>
      <c r="C24" s="152" t="s">
        <v>52</v>
      </c>
      <c r="D24" s="151" t="s">
        <v>65</v>
      </c>
      <c r="E24" s="254">
        <v>2</v>
      </c>
      <c r="F24" s="46"/>
      <c r="G24" s="46"/>
      <c r="H24" s="38"/>
      <c r="I24" s="250">
        <v>78</v>
      </c>
      <c r="J24" s="250"/>
      <c r="K24" s="46">
        <f t="shared" si="4"/>
        <v>78</v>
      </c>
      <c r="L24" s="47"/>
      <c r="M24" s="48"/>
      <c r="N24" s="48">
        <f t="shared" si="2"/>
        <v>156</v>
      </c>
      <c r="O24" s="48"/>
      <c r="P24" s="251">
        <f t="shared" si="3"/>
        <v>156</v>
      </c>
    </row>
    <row r="25" spans="1:16" x14ac:dyDescent="0.25">
      <c r="A25" s="31"/>
      <c r="B25" s="151"/>
      <c r="C25" s="152" t="s">
        <v>50</v>
      </c>
      <c r="D25" s="151" t="s">
        <v>65</v>
      </c>
      <c r="E25" s="254">
        <v>8</v>
      </c>
      <c r="F25" s="46"/>
      <c r="G25" s="46"/>
      <c r="H25" s="38"/>
      <c r="I25" s="250">
        <v>0.32</v>
      </c>
      <c r="J25" s="250"/>
      <c r="K25" s="46">
        <f t="shared" si="4"/>
        <v>0.32</v>
      </c>
      <c r="L25" s="47"/>
      <c r="M25" s="48"/>
      <c r="N25" s="48">
        <f t="shared" si="2"/>
        <v>2.56</v>
      </c>
      <c r="O25" s="48"/>
      <c r="P25" s="251">
        <f t="shared" si="3"/>
        <v>2.56</v>
      </c>
    </row>
    <row r="26" spans="1:16" x14ac:dyDescent="0.25">
      <c r="A26" s="31"/>
      <c r="B26" s="151"/>
      <c r="C26" s="128" t="s">
        <v>86</v>
      </c>
      <c r="D26" s="146" t="s">
        <v>69</v>
      </c>
      <c r="E26" s="254">
        <v>8</v>
      </c>
      <c r="F26" s="46"/>
      <c r="G26" s="46"/>
      <c r="H26" s="38"/>
      <c r="I26" s="250">
        <v>1.28</v>
      </c>
      <c r="J26" s="250"/>
      <c r="K26" s="46">
        <f t="shared" si="4"/>
        <v>1.28</v>
      </c>
      <c r="L26" s="47"/>
      <c r="M26" s="48"/>
      <c r="N26" s="48">
        <f t="shared" si="2"/>
        <v>10.24</v>
      </c>
      <c r="O26" s="48"/>
      <c r="P26" s="251">
        <f t="shared" si="3"/>
        <v>10.24</v>
      </c>
    </row>
    <row r="27" spans="1:16" ht="26.25" x14ac:dyDescent="0.25">
      <c r="A27" s="31"/>
      <c r="B27" s="151"/>
      <c r="C27" s="152" t="s">
        <v>84</v>
      </c>
      <c r="D27" s="151" t="s">
        <v>65</v>
      </c>
      <c r="E27" s="254">
        <v>2</v>
      </c>
      <c r="F27" s="46"/>
      <c r="G27" s="46"/>
      <c r="H27" s="38"/>
      <c r="I27" s="250">
        <v>3.04</v>
      </c>
      <c r="J27" s="250"/>
      <c r="K27" s="46">
        <f t="shared" si="4"/>
        <v>3.04</v>
      </c>
      <c r="L27" s="47"/>
      <c r="M27" s="48"/>
      <c r="N27" s="48">
        <f t="shared" si="2"/>
        <v>6.08</v>
      </c>
      <c r="O27" s="48"/>
      <c r="P27" s="251">
        <f t="shared" si="3"/>
        <v>6.08</v>
      </c>
    </row>
    <row r="28" spans="1:16" ht="26.25" x14ac:dyDescent="0.25">
      <c r="A28" s="31">
        <v>3</v>
      </c>
      <c r="B28" s="151" t="s">
        <v>176</v>
      </c>
      <c r="C28" s="156" t="s">
        <v>308</v>
      </c>
      <c r="D28" s="151" t="s">
        <v>65</v>
      </c>
      <c r="E28" s="254">
        <v>8</v>
      </c>
      <c r="F28" s="46">
        <v>2.7</v>
      </c>
      <c r="G28" s="46">
        <v>5.5</v>
      </c>
      <c r="H28" s="38">
        <f>G28*F28</f>
        <v>14.850000000000001</v>
      </c>
      <c r="I28" s="250"/>
      <c r="J28" s="250"/>
      <c r="K28" s="46">
        <f t="shared" si="4"/>
        <v>14.850000000000001</v>
      </c>
      <c r="L28" s="47">
        <f t="shared" si="5"/>
        <v>21.6</v>
      </c>
      <c r="M28" s="48">
        <f t="shared" si="6"/>
        <v>118.80000000000001</v>
      </c>
      <c r="N28" s="48"/>
      <c r="O28" s="48"/>
      <c r="P28" s="251">
        <f t="shared" si="3"/>
        <v>118.80000000000001</v>
      </c>
    </row>
    <row r="29" spans="1:16" x14ac:dyDescent="0.25">
      <c r="A29" s="31"/>
      <c r="B29" s="151"/>
      <c r="C29" s="152" t="s">
        <v>309</v>
      </c>
      <c r="D29" s="151" t="s">
        <v>65</v>
      </c>
      <c r="E29" s="254">
        <v>8</v>
      </c>
      <c r="F29" s="46"/>
      <c r="G29" s="46"/>
      <c r="H29" s="38"/>
      <c r="I29" s="250">
        <v>65.150000000000006</v>
      </c>
      <c r="J29" s="250"/>
      <c r="K29" s="46">
        <f t="shared" si="4"/>
        <v>65.150000000000006</v>
      </c>
      <c r="L29" s="47"/>
      <c r="M29" s="48"/>
      <c r="N29" s="48">
        <f t="shared" si="2"/>
        <v>521.20000000000005</v>
      </c>
      <c r="O29" s="48"/>
      <c r="P29" s="251">
        <f t="shared" si="3"/>
        <v>521.20000000000005</v>
      </c>
    </row>
    <row r="30" spans="1:16" x14ac:dyDescent="0.25">
      <c r="A30" s="31"/>
      <c r="B30" s="151"/>
      <c r="C30" s="152" t="s">
        <v>50</v>
      </c>
      <c r="D30" s="151" t="s">
        <v>65</v>
      </c>
      <c r="E30" s="254">
        <v>32</v>
      </c>
      <c r="F30" s="46"/>
      <c r="G30" s="46"/>
      <c r="H30" s="38"/>
      <c r="I30" s="250">
        <f>I25</f>
        <v>0.32</v>
      </c>
      <c r="J30" s="250"/>
      <c r="K30" s="46">
        <f t="shared" si="4"/>
        <v>0.32</v>
      </c>
      <c r="L30" s="47"/>
      <c r="M30" s="48"/>
      <c r="N30" s="48">
        <f t="shared" si="2"/>
        <v>10.24</v>
      </c>
      <c r="O30" s="48"/>
      <c r="P30" s="251">
        <f t="shared" si="3"/>
        <v>10.24</v>
      </c>
    </row>
    <row r="31" spans="1:16" x14ac:dyDescent="0.25">
      <c r="A31" s="31"/>
      <c r="B31" s="151"/>
      <c r="C31" s="128" t="s">
        <v>86</v>
      </c>
      <c r="D31" s="146" t="s">
        <v>69</v>
      </c>
      <c r="E31" s="254">
        <v>32</v>
      </c>
      <c r="F31" s="46"/>
      <c r="G31" s="46"/>
      <c r="H31" s="38"/>
      <c r="I31" s="250">
        <v>0.90059999999999996</v>
      </c>
      <c r="J31" s="250"/>
      <c r="K31" s="46">
        <f t="shared" si="4"/>
        <v>0.90059999999999996</v>
      </c>
      <c r="L31" s="47"/>
      <c r="M31" s="48"/>
      <c r="N31" s="48">
        <f t="shared" si="2"/>
        <v>28.819199999999999</v>
      </c>
      <c r="O31" s="48"/>
      <c r="P31" s="251">
        <f t="shared" si="3"/>
        <v>28.819199999999999</v>
      </c>
    </row>
    <row r="32" spans="1:16" ht="26.25" x14ac:dyDescent="0.25">
      <c r="A32" s="31"/>
      <c r="B32" s="151"/>
      <c r="C32" s="152" t="s">
        <v>84</v>
      </c>
      <c r="D32" s="151" t="s">
        <v>65</v>
      </c>
      <c r="E32" s="254">
        <v>6</v>
      </c>
      <c r="F32" s="46"/>
      <c r="G32" s="46"/>
      <c r="H32" s="38"/>
      <c r="I32" s="250">
        <v>2.6307</v>
      </c>
      <c r="J32" s="250"/>
      <c r="K32" s="46">
        <f t="shared" si="4"/>
        <v>2.6307</v>
      </c>
      <c r="L32" s="47"/>
      <c r="M32" s="48"/>
      <c r="N32" s="48">
        <f t="shared" si="2"/>
        <v>15.7842</v>
      </c>
      <c r="O32" s="48"/>
      <c r="P32" s="251">
        <f t="shared" si="3"/>
        <v>15.7842</v>
      </c>
    </row>
    <row r="33" spans="1:16" ht="26.25" x14ac:dyDescent="0.25">
      <c r="A33" s="31">
        <v>4</v>
      </c>
      <c r="B33" s="151" t="s">
        <v>175</v>
      </c>
      <c r="C33" s="156" t="s">
        <v>310</v>
      </c>
      <c r="D33" s="151" t="s">
        <v>65</v>
      </c>
      <c r="E33" s="254">
        <v>4</v>
      </c>
      <c r="F33" s="46">
        <v>2.7</v>
      </c>
      <c r="G33" s="46">
        <v>5.5</v>
      </c>
      <c r="H33" s="38">
        <f t="shared" si="0"/>
        <v>14.850000000000001</v>
      </c>
      <c r="I33" s="250"/>
      <c r="J33" s="250"/>
      <c r="K33" s="46">
        <f t="shared" si="4"/>
        <v>14.850000000000001</v>
      </c>
      <c r="L33" s="47">
        <f t="shared" si="5"/>
        <v>10.8</v>
      </c>
      <c r="M33" s="48">
        <f t="shared" si="6"/>
        <v>59.400000000000006</v>
      </c>
      <c r="N33" s="48"/>
      <c r="O33" s="48"/>
      <c r="P33" s="251">
        <f t="shared" si="3"/>
        <v>59.400000000000006</v>
      </c>
    </row>
    <row r="34" spans="1:16" x14ac:dyDescent="0.25">
      <c r="A34" s="31"/>
      <c r="B34" s="151"/>
      <c r="C34" s="152" t="s">
        <v>311</v>
      </c>
      <c r="D34" s="151" t="s">
        <v>65</v>
      </c>
      <c r="E34" s="254">
        <v>4</v>
      </c>
      <c r="F34" s="46"/>
      <c r="G34" s="46"/>
      <c r="H34" s="38"/>
      <c r="I34" s="250">
        <v>375</v>
      </c>
      <c r="J34" s="250"/>
      <c r="K34" s="46">
        <f t="shared" si="4"/>
        <v>375</v>
      </c>
      <c r="L34" s="47"/>
      <c r="M34" s="48"/>
      <c r="N34" s="48">
        <f t="shared" si="2"/>
        <v>1500</v>
      </c>
      <c r="O34" s="48"/>
      <c r="P34" s="251">
        <f t="shared" si="3"/>
        <v>1500</v>
      </c>
    </row>
    <row r="35" spans="1:16" x14ac:dyDescent="0.25">
      <c r="A35" s="31"/>
      <c r="B35" s="151"/>
      <c r="C35" s="152" t="s">
        <v>50</v>
      </c>
      <c r="D35" s="151" t="s">
        <v>65</v>
      </c>
      <c r="E35" s="254">
        <v>16</v>
      </c>
      <c r="F35" s="46"/>
      <c r="G35" s="46"/>
      <c r="H35" s="38"/>
      <c r="I35" s="250">
        <v>0.45</v>
      </c>
      <c r="J35" s="250"/>
      <c r="K35" s="46">
        <f t="shared" si="4"/>
        <v>0.45</v>
      </c>
      <c r="L35" s="47"/>
      <c r="M35" s="48"/>
      <c r="N35" s="48">
        <f t="shared" si="2"/>
        <v>7.2</v>
      </c>
      <c r="O35" s="48"/>
      <c r="P35" s="251">
        <f t="shared" si="3"/>
        <v>7.2</v>
      </c>
    </row>
    <row r="36" spans="1:16" ht="26.25" x14ac:dyDescent="0.25">
      <c r="A36" s="31">
        <v>4</v>
      </c>
      <c r="B36" s="151" t="s">
        <v>175</v>
      </c>
      <c r="C36" s="156" t="s">
        <v>312</v>
      </c>
      <c r="D36" s="151" t="s">
        <v>65</v>
      </c>
      <c r="E36" s="254">
        <v>2</v>
      </c>
      <c r="F36" s="46">
        <v>2.7</v>
      </c>
      <c r="G36" s="46">
        <v>5.5</v>
      </c>
      <c r="H36" s="38">
        <f t="shared" ref="H36" si="7">G36*F36</f>
        <v>14.850000000000001</v>
      </c>
      <c r="I36" s="250"/>
      <c r="J36" s="250"/>
      <c r="K36" s="46">
        <f t="shared" ref="K36:K41" si="8">SUM(H36:J36)</f>
        <v>14.850000000000001</v>
      </c>
      <c r="L36" s="47">
        <f t="shared" ref="L36" si="9">E36*F36</f>
        <v>5.4</v>
      </c>
      <c r="M36" s="48">
        <f t="shared" ref="M36" si="10">E36*H36</f>
        <v>29.700000000000003</v>
      </c>
      <c r="N36" s="48"/>
      <c r="O36" s="48"/>
      <c r="P36" s="251">
        <f t="shared" ref="P36:P41" si="11">SUM(M36:O36)</f>
        <v>29.700000000000003</v>
      </c>
    </row>
    <row r="37" spans="1:16" x14ac:dyDescent="0.25">
      <c r="A37" s="31"/>
      <c r="B37" s="151"/>
      <c r="C37" s="152" t="s">
        <v>313</v>
      </c>
      <c r="D37" s="151" t="s">
        <v>65</v>
      </c>
      <c r="E37" s="254">
        <v>2</v>
      </c>
      <c r="F37" s="46"/>
      <c r="G37" s="46"/>
      <c r="H37" s="38"/>
      <c r="I37" s="250">
        <v>420</v>
      </c>
      <c r="J37" s="250"/>
      <c r="K37" s="46">
        <f t="shared" si="8"/>
        <v>420</v>
      </c>
      <c r="L37" s="47"/>
      <c r="M37" s="48"/>
      <c r="N37" s="48">
        <f t="shared" ref="N37:N38" si="12">E37*I37</f>
        <v>840</v>
      </c>
      <c r="O37" s="48"/>
      <c r="P37" s="251">
        <f t="shared" si="11"/>
        <v>840</v>
      </c>
    </row>
    <row r="38" spans="1:16" x14ac:dyDescent="0.25">
      <c r="A38" s="31"/>
      <c r="B38" s="151"/>
      <c r="C38" s="152" t="s">
        <v>50</v>
      </c>
      <c r="D38" s="151" t="s">
        <v>65</v>
      </c>
      <c r="E38" s="254">
        <v>8</v>
      </c>
      <c r="F38" s="46"/>
      <c r="G38" s="46"/>
      <c r="H38" s="38"/>
      <c r="I38" s="250">
        <v>0.45</v>
      </c>
      <c r="J38" s="250"/>
      <c r="K38" s="46">
        <f t="shared" si="8"/>
        <v>0.45</v>
      </c>
      <c r="L38" s="47"/>
      <c r="M38" s="48"/>
      <c r="N38" s="48">
        <f t="shared" si="12"/>
        <v>3.6</v>
      </c>
      <c r="O38" s="48"/>
      <c r="P38" s="251">
        <f t="shared" si="11"/>
        <v>3.6</v>
      </c>
    </row>
    <row r="39" spans="1:16" ht="26.25" x14ac:dyDescent="0.25">
      <c r="A39" s="31">
        <v>4</v>
      </c>
      <c r="B39" s="151" t="s">
        <v>175</v>
      </c>
      <c r="C39" s="156" t="s">
        <v>314</v>
      </c>
      <c r="D39" s="151" t="s">
        <v>65</v>
      </c>
      <c r="E39" s="254">
        <v>1</v>
      </c>
      <c r="F39" s="46">
        <v>2.7</v>
      </c>
      <c r="G39" s="46">
        <v>5.5</v>
      </c>
      <c r="H39" s="38">
        <f t="shared" ref="H39" si="13">G39*F39</f>
        <v>14.850000000000001</v>
      </c>
      <c r="I39" s="250"/>
      <c r="J39" s="250"/>
      <c r="K39" s="46">
        <f t="shared" si="8"/>
        <v>14.850000000000001</v>
      </c>
      <c r="L39" s="47">
        <f t="shared" ref="L39" si="14">E39*F39</f>
        <v>2.7</v>
      </c>
      <c r="M39" s="48">
        <f t="shared" ref="M39" si="15">E39*H39</f>
        <v>14.850000000000001</v>
      </c>
      <c r="N39" s="48"/>
      <c r="O39" s="48"/>
      <c r="P39" s="251">
        <f t="shared" si="11"/>
        <v>14.850000000000001</v>
      </c>
    </row>
    <row r="40" spans="1:16" x14ac:dyDescent="0.25">
      <c r="A40" s="31"/>
      <c r="B40" s="151"/>
      <c r="C40" s="152" t="s">
        <v>315</v>
      </c>
      <c r="D40" s="151" t="s">
        <v>65</v>
      </c>
      <c r="E40" s="254">
        <v>1</v>
      </c>
      <c r="F40" s="46"/>
      <c r="G40" s="46"/>
      <c r="H40" s="38"/>
      <c r="I40" s="250">
        <v>320</v>
      </c>
      <c r="J40" s="250"/>
      <c r="K40" s="46">
        <f t="shared" si="8"/>
        <v>320</v>
      </c>
      <c r="L40" s="47"/>
      <c r="M40" s="48"/>
      <c r="N40" s="48">
        <f t="shared" ref="N40:N41" si="16">E40*I40</f>
        <v>320</v>
      </c>
      <c r="O40" s="48"/>
      <c r="P40" s="251">
        <f t="shared" si="11"/>
        <v>320</v>
      </c>
    </row>
    <row r="41" spans="1:16" x14ac:dyDescent="0.25">
      <c r="A41" s="31"/>
      <c r="B41" s="151"/>
      <c r="C41" s="152" t="s">
        <v>50</v>
      </c>
      <c r="D41" s="151" t="s">
        <v>65</v>
      </c>
      <c r="E41" s="254">
        <v>4</v>
      </c>
      <c r="F41" s="46"/>
      <c r="G41" s="46"/>
      <c r="H41" s="38"/>
      <c r="I41" s="250">
        <v>0.45</v>
      </c>
      <c r="J41" s="250"/>
      <c r="K41" s="46">
        <f t="shared" si="8"/>
        <v>0.45</v>
      </c>
      <c r="L41" s="47"/>
      <c r="M41" s="48"/>
      <c r="N41" s="48">
        <f t="shared" si="16"/>
        <v>1.8</v>
      </c>
      <c r="O41" s="48"/>
      <c r="P41" s="251">
        <f t="shared" si="11"/>
        <v>1.8</v>
      </c>
    </row>
    <row r="42" spans="1:16" ht="51.75" x14ac:dyDescent="0.25">
      <c r="A42" s="31">
        <v>4</v>
      </c>
      <c r="B42" s="151" t="s">
        <v>175</v>
      </c>
      <c r="C42" s="156" t="s">
        <v>317</v>
      </c>
      <c r="D42" s="151" t="s">
        <v>65</v>
      </c>
      <c r="E42" s="254">
        <v>1</v>
      </c>
      <c r="F42" s="46">
        <v>2.7</v>
      </c>
      <c r="G42" s="46">
        <v>5.5</v>
      </c>
      <c r="H42" s="38">
        <f t="shared" ref="H42" si="17">G42*F42</f>
        <v>14.850000000000001</v>
      </c>
      <c r="I42" s="250"/>
      <c r="J42" s="250"/>
      <c r="K42" s="46">
        <f t="shared" ref="K42:K45" si="18">SUM(H42:J42)</f>
        <v>14.850000000000001</v>
      </c>
      <c r="L42" s="47">
        <f t="shared" ref="L42" si="19">E42*F42</f>
        <v>2.7</v>
      </c>
      <c r="M42" s="48">
        <f t="shared" ref="M42" si="20">E42*H42</f>
        <v>14.850000000000001</v>
      </c>
      <c r="N42" s="48"/>
      <c r="O42" s="48"/>
      <c r="P42" s="251">
        <f t="shared" ref="P42:P45" si="21">SUM(M42:O42)</f>
        <v>14.850000000000001</v>
      </c>
    </row>
    <row r="43" spans="1:16" x14ac:dyDescent="0.25">
      <c r="A43" s="31"/>
      <c r="B43" s="151"/>
      <c r="C43" s="152" t="s">
        <v>316</v>
      </c>
      <c r="D43" s="151" t="s">
        <v>65</v>
      </c>
      <c r="E43" s="254">
        <v>1</v>
      </c>
      <c r="F43" s="46"/>
      <c r="G43" s="46"/>
      <c r="H43" s="38"/>
      <c r="I43" s="250">
        <v>400</v>
      </c>
      <c r="J43" s="250"/>
      <c r="K43" s="46">
        <f t="shared" si="18"/>
        <v>400</v>
      </c>
      <c r="L43" s="47"/>
      <c r="M43" s="48"/>
      <c r="N43" s="48">
        <f t="shared" ref="N43:N45" si="22">E43*I43</f>
        <v>400</v>
      </c>
      <c r="O43" s="48"/>
      <c r="P43" s="251">
        <f t="shared" si="21"/>
        <v>400</v>
      </c>
    </row>
    <row r="44" spans="1:16" x14ac:dyDescent="0.25">
      <c r="A44" s="31"/>
      <c r="B44" s="151"/>
      <c r="C44" s="152" t="s">
        <v>50</v>
      </c>
      <c r="D44" s="151" t="s">
        <v>65</v>
      </c>
      <c r="E44" s="254">
        <v>4</v>
      </c>
      <c r="F44" s="46"/>
      <c r="G44" s="46"/>
      <c r="H44" s="38"/>
      <c r="I44" s="250">
        <v>0.45</v>
      </c>
      <c r="J44" s="250"/>
      <c r="K44" s="46">
        <f t="shared" si="18"/>
        <v>0.45</v>
      </c>
      <c r="L44" s="47"/>
      <c r="M44" s="48"/>
      <c r="N44" s="48">
        <f t="shared" si="22"/>
        <v>1.8</v>
      </c>
      <c r="O44" s="48"/>
      <c r="P44" s="251">
        <f t="shared" si="21"/>
        <v>1.8</v>
      </c>
    </row>
    <row r="45" spans="1:16" ht="26.25" x14ac:dyDescent="0.25">
      <c r="A45" s="31"/>
      <c r="B45" s="151"/>
      <c r="C45" s="152" t="s">
        <v>84</v>
      </c>
      <c r="D45" s="151" t="s">
        <v>65</v>
      </c>
      <c r="E45" s="254">
        <v>1</v>
      </c>
      <c r="F45" s="46"/>
      <c r="G45" s="46"/>
      <c r="H45" s="38"/>
      <c r="I45" s="250">
        <v>2.6307</v>
      </c>
      <c r="J45" s="250"/>
      <c r="K45" s="46">
        <f t="shared" si="18"/>
        <v>2.6307</v>
      </c>
      <c r="L45" s="47"/>
      <c r="M45" s="48"/>
      <c r="N45" s="48">
        <f t="shared" si="22"/>
        <v>2.6307</v>
      </c>
      <c r="O45" s="48"/>
      <c r="P45" s="251">
        <f t="shared" si="21"/>
        <v>2.6307</v>
      </c>
    </row>
    <row r="46" spans="1:16" x14ac:dyDescent="0.25">
      <c r="A46" s="54" t="s">
        <v>13</v>
      </c>
      <c r="B46" s="256"/>
      <c r="C46" s="257" t="s">
        <v>187</v>
      </c>
      <c r="D46" s="118" t="s">
        <v>61</v>
      </c>
      <c r="E46" s="250">
        <v>30</v>
      </c>
      <c r="F46" s="46">
        <v>0.5</v>
      </c>
      <c r="G46" s="46">
        <v>5.5</v>
      </c>
      <c r="H46" s="38">
        <f t="shared" si="0"/>
        <v>2.75</v>
      </c>
      <c r="I46" s="45"/>
      <c r="J46" s="45"/>
      <c r="K46" s="46">
        <f t="shared" si="4"/>
        <v>2.75</v>
      </c>
      <c r="L46" s="47">
        <f t="shared" si="5"/>
        <v>15</v>
      </c>
      <c r="M46" s="48">
        <f t="shared" si="6"/>
        <v>82.5</v>
      </c>
      <c r="N46" s="48"/>
      <c r="O46" s="48"/>
      <c r="P46" s="251">
        <f t="shared" si="3"/>
        <v>82.5</v>
      </c>
    </row>
    <row r="47" spans="1:16" x14ac:dyDescent="0.25">
      <c r="A47" s="54"/>
      <c r="B47" s="256"/>
      <c r="C47" s="152" t="s">
        <v>80</v>
      </c>
      <c r="D47" s="118" t="s">
        <v>61</v>
      </c>
      <c r="E47" s="250">
        <v>30</v>
      </c>
      <c r="F47" s="46"/>
      <c r="G47" s="46"/>
      <c r="H47" s="38"/>
      <c r="I47" s="45">
        <v>0.25</v>
      </c>
      <c r="J47" s="45"/>
      <c r="K47" s="46">
        <f t="shared" si="4"/>
        <v>0.25</v>
      </c>
      <c r="L47" s="47"/>
      <c r="M47" s="48"/>
      <c r="N47" s="48">
        <f t="shared" si="2"/>
        <v>7.5</v>
      </c>
      <c r="O47" s="48"/>
      <c r="P47" s="251">
        <f t="shared" si="3"/>
        <v>7.5</v>
      </c>
    </row>
    <row r="48" spans="1:16" x14ac:dyDescent="0.25">
      <c r="A48" s="54"/>
      <c r="B48" s="256"/>
      <c r="C48" s="144" t="s">
        <v>188</v>
      </c>
      <c r="D48" s="118" t="s">
        <v>67</v>
      </c>
      <c r="E48" s="250">
        <v>25</v>
      </c>
      <c r="F48" s="46"/>
      <c r="G48" s="46"/>
      <c r="H48" s="38"/>
      <c r="I48" s="45">
        <v>0.8</v>
      </c>
      <c r="J48" s="45"/>
      <c r="K48" s="46">
        <f t="shared" si="4"/>
        <v>0.8</v>
      </c>
      <c r="L48" s="47"/>
      <c r="M48" s="48"/>
      <c r="N48" s="48">
        <f t="shared" si="2"/>
        <v>20</v>
      </c>
      <c r="O48" s="48"/>
      <c r="P48" s="251">
        <f t="shared" si="3"/>
        <v>20</v>
      </c>
    </row>
    <row r="49" spans="1:16" x14ac:dyDescent="0.25">
      <c r="A49" s="54" t="s">
        <v>14</v>
      </c>
      <c r="B49" s="256"/>
      <c r="C49" s="257" t="s">
        <v>189</v>
      </c>
      <c r="D49" s="118" t="s">
        <v>61</v>
      </c>
      <c r="E49" s="250">
        <v>30.85</v>
      </c>
      <c r="F49" s="46">
        <v>0.5</v>
      </c>
      <c r="G49" s="46">
        <v>5.5</v>
      </c>
      <c r="H49" s="38">
        <f t="shared" si="0"/>
        <v>2.75</v>
      </c>
      <c r="I49" s="45"/>
      <c r="J49" s="45"/>
      <c r="K49" s="46">
        <f t="shared" si="4"/>
        <v>2.75</v>
      </c>
      <c r="L49" s="47">
        <f t="shared" si="5"/>
        <v>15.425000000000001</v>
      </c>
      <c r="M49" s="48">
        <f t="shared" si="6"/>
        <v>84.837500000000006</v>
      </c>
      <c r="N49" s="48"/>
      <c r="O49" s="48"/>
      <c r="P49" s="251">
        <f t="shared" si="3"/>
        <v>84.837500000000006</v>
      </c>
    </row>
    <row r="50" spans="1:16" x14ac:dyDescent="0.25">
      <c r="A50" s="54"/>
      <c r="B50" s="256"/>
      <c r="C50" s="152" t="s">
        <v>80</v>
      </c>
      <c r="D50" s="118" t="s">
        <v>61</v>
      </c>
      <c r="E50" s="250">
        <v>30.85</v>
      </c>
      <c r="F50" s="46"/>
      <c r="G50" s="46"/>
      <c r="H50" s="45"/>
      <c r="I50" s="45">
        <v>0.25</v>
      </c>
      <c r="J50" s="45"/>
      <c r="K50" s="46">
        <f t="shared" si="4"/>
        <v>0.25</v>
      </c>
      <c r="L50" s="47"/>
      <c r="M50" s="48"/>
      <c r="N50" s="48">
        <f t="shared" si="2"/>
        <v>7.7125000000000004</v>
      </c>
      <c r="O50" s="48"/>
      <c r="P50" s="251">
        <f t="shared" si="3"/>
        <v>7.7125000000000004</v>
      </c>
    </row>
    <row r="51" spans="1:16" x14ac:dyDescent="0.25">
      <c r="A51" s="54"/>
      <c r="B51" s="256"/>
      <c r="C51" s="144" t="s">
        <v>188</v>
      </c>
      <c r="D51" s="118" t="s">
        <v>67</v>
      </c>
      <c r="E51" s="250">
        <f>E49*0.2*1.6</f>
        <v>9.8720000000000017</v>
      </c>
      <c r="F51" s="46"/>
      <c r="G51" s="46"/>
      <c r="H51" s="45"/>
      <c r="I51" s="45">
        <v>0.8</v>
      </c>
      <c r="J51" s="45"/>
      <c r="K51" s="46">
        <f t="shared" si="4"/>
        <v>0.8</v>
      </c>
      <c r="L51" s="47"/>
      <c r="M51" s="48"/>
      <c r="N51" s="48">
        <f t="shared" si="2"/>
        <v>7.8976000000000015</v>
      </c>
      <c r="O51" s="48"/>
      <c r="P51" s="251">
        <f t="shared" si="3"/>
        <v>7.8976000000000015</v>
      </c>
    </row>
    <row r="52" spans="1:16" x14ac:dyDescent="0.25">
      <c r="A52" s="258" t="s">
        <v>16</v>
      </c>
      <c r="B52" s="259" t="s">
        <v>16</v>
      </c>
      <c r="C52" s="448" t="s">
        <v>17</v>
      </c>
      <c r="D52" s="448"/>
      <c r="E52" s="260" t="s">
        <v>16</v>
      </c>
      <c r="F52" s="261" t="s">
        <v>16</v>
      </c>
      <c r="G52" s="261" t="s">
        <v>16</v>
      </c>
      <c r="H52" s="262" t="s">
        <v>16</v>
      </c>
      <c r="I52" s="263" t="s">
        <v>16</v>
      </c>
      <c r="J52" s="264" t="s">
        <v>16</v>
      </c>
      <c r="K52" s="263" t="s">
        <v>16</v>
      </c>
      <c r="L52" s="265">
        <f>SUM(L14:L51)</f>
        <v>92.024999999999991</v>
      </c>
      <c r="M52" s="266">
        <f>SUM(M14:M51)</f>
        <v>506.13750000000005</v>
      </c>
      <c r="N52" s="267">
        <f>SUM(N14:N51)</f>
        <v>4416.6722</v>
      </c>
      <c r="O52" s="268">
        <f>SUM(O14:O51)</f>
        <v>0</v>
      </c>
      <c r="P52" s="269">
        <f>SUM(P14:P51)</f>
        <v>4922.8096999999998</v>
      </c>
    </row>
    <row r="53" spans="1:16" x14ac:dyDescent="0.25">
      <c r="A53" s="258" t="s">
        <v>16</v>
      </c>
      <c r="B53" s="270" t="s">
        <v>16</v>
      </c>
      <c r="C53" s="449" t="s">
        <v>18</v>
      </c>
      <c r="D53" s="450"/>
      <c r="E53" s="450"/>
      <c r="F53" s="450"/>
      <c r="G53" s="450"/>
      <c r="H53" s="450"/>
      <c r="I53" s="450"/>
      <c r="J53" s="450"/>
      <c r="K53" s="450"/>
      <c r="L53" s="124"/>
      <c r="M53" s="46"/>
      <c r="N53" s="46">
        <f>N52*0.05</f>
        <v>220.83361000000002</v>
      </c>
      <c r="O53" s="271"/>
      <c r="P53" s="272">
        <f>N53</f>
        <v>220.83361000000002</v>
      </c>
    </row>
    <row r="54" spans="1:16" ht="15.75" thickBot="1" x14ac:dyDescent="0.3">
      <c r="A54" s="273" t="s">
        <v>16</v>
      </c>
      <c r="B54" s="274" t="s">
        <v>16</v>
      </c>
      <c r="C54" s="451" t="s">
        <v>19</v>
      </c>
      <c r="D54" s="452"/>
      <c r="E54" s="452"/>
      <c r="F54" s="452"/>
      <c r="G54" s="452"/>
      <c r="H54" s="452"/>
      <c r="I54" s="452"/>
      <c r="J54" s="452"/>
      <c r="K54" s="452"/>
      <c r="L54" s="275"/>
      <c r="M54" s="276">
        <f>M52+M53</f>
        <v>506.13750000000005</v>
      </c>
      <c r="N54" s="276">
        <f>N52+N53</f>
        <v>4637.5058099999997</v>
      </c>
      <c r="O54" s="276">
        <f>O52+O53</f>
        <v>0</v>
      </c>
      <c r="P54" s="277">
        <f>P52+P53</f>
        <v>5143.6433099999995</v>
      </c>
    </row>
    <row r="55" spans="1:16" x14ac:dyDescent="0.25">
      <c r="A55" s="19" t="s">
        <v>16</v>
      </c>
      <c r="B55" s="74" t="s">
        <v>16</v>
      </c>
      <c r="C55" s="74" t="s">
        <v>16</v>
      </c>
      <c r="D55" s="415" t="s">
        <v>16</v>
      </c>
      <c r="E55" s="415"/>
      <c r="F55" s="415" t="s">
        <v>16</v>
      </c>
      <c r="G55" s="415"/>
      <c r="H55" s="415"/>
      <c r="I55" s="415" t="s">
        <v>16</v>
      </c>
      <c r="J55" s="415"/>
      <c r="K55" s="74" t="s">
        <v>16</v>
      </c>
      <c r="L55" s="74" t="s">
        <v>16</v>
      </c>
      <c r="M55" s="74" t="s">
        <v>16</v>
      </c>
      <c r="N55" s="75"/>
      <c r="O55" s="14"/>
      <c r="P55" s="14" t="s">
        <v>16</v>
      </c>
    </row>
    <row r="56" spans="1:16" x14ac:dyDescent="0.25">
      <c r="A56" s="19" t="s">
        <v>20</v>
      </c>
      <c r="B56" s="76"/>
      <c r="C56" s="77"/>
      <c r="D56" s="14"/>
      <c r="E56" s="14"/>
      <c r="F56" s="14"/>
      <c r="G56" s="19" t="s">
        <v>21</v>
      </c>
      <c r="H56" s="78"/>
      <c r="I56" s="77"/>
      <c r="J56" s="77"/>
      <c r="K56" s="76"/>
      <c r="L56" s="76"/>
      <c r="M56" s="76"/>
      <c r="N56" s="76"/>
      <c r="O56" s="76"/>
      <c r="P56" s="14"/>
    </row>
    <row r="57" spans="1:16" x14ac:dyDescent="0.25">
      <c r="A57" s="79"/>
      <c r="B57" s="80"/>
      <c r="C57" s="81" t="s">
        <v>22</v>
      </c>
      <c r="D57" s="14"/>
      <c r="E57" s="14"/>
      <c r="F57" s="14"/>
      <c r="G57" s="80"/>
      <c r="H57" s="80"/>
      <c r="I57" s="81" t="s">
        <v>22</v>
      </c>
      <c r="J57" s="80"/>
      <c r="K57" s="80"/>
      <c r="L57" s="80"/>
      <c r="M57" s="80"/>
      <c r="N57" s="80"/>
      <c r="O57" s="14"/>
      <c r="P57" s="14"/>
    </row>
  </sheetData>
  <mergeCells count="16">
    <mergeCell ref="C52:D52"/>
    <mergeCell ref="C53:K53"/>
    <mergeCell ref="C54:K54"/>
    <mergeCell ref="D55:E55"/>
    <mergeCell ref="F55:H55"/>
    <mergeCell ref="I55:J55"/>
    <mergeCell ref="A1:P1"/>
    <mergeCell ref="A2:P2"/>
    <mergeCell ref="D11:D12"/>
    <mergeCell ref="E11:E12"/>
    <mergeCell ref="F11:K11"/>
    <mergeCell ref="L11:P11"/>
    <mergeCell ref="A3:P3"/>
    <mergeCell ref="A11:A12"/>
    <mergeCell ref="C11:C12"/>
    <mergeCell ref="B11:B12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O5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4" workbookViewId="0">
      <selection activeCell="E6" sqref="E6"/>
    </sheetView>
  </sheetViews>
  <sheetFormatPr defaultRowHeight="15" x14ac:dyDescent="0.25"/>
  <cols>
    <col min="3" max="3" width="46.42578125" customWidth="1"/>
  </cols>
  <sheetData>
    <row r="1" spans="1:16" ht="15.75" x14ac:dyDescent="0.25">
      <c r="A1" s="473" t="s">
        <v>350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</row>
    <row r="2" spans="1:16" ht="15.75" x14ac:dyDescent="0.25">
      <c r="A2" s="474"/>
      <c r="B2" s="473" t="s">
        <v>351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</row>
    <row r="3" spans="1:16" x14ac:dyDescent="0.25">
      <c r="A3" s="475"/>
      <c r="B3" s="475"/>
      <c r="C3" s="475"/>
      <c r="D3" s="476" t="s">
        <v>0</v>
      </c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</row>
    <row r="4" spans="1:16" ht="15.75" x14ac:dyDescent="0.25">
      <c r="A4" s="477" t="s">
        <v>352</v>
      </c>
      <c r="B4" s="478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</row>
    <row r="5" spans="1:16" ht="15.75" x14ac:dyDescent="0.25">
      <c r="A5" s="477" t="s">
        <v>353</v>
      </c>
      <c r="B5" s="478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475"/>
      <c r="P5" s="475"/>
    </row>
    <row r="6" spans="1:16" ht="15.75" x14ac:dyDescent="0.25">
      <c r="A6" s="477" t="s">
        <v>346</v>
      </c>
      <c r="B6" s="478"/>
      <c r="C6" s="475"/>
      <c r="D6" s="47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475"/>
      <c r="P6" s="475"/>
    </row>
    <row r="7" spans="1:16" ht="15.75" x14ac:dyDescent="0.25">
      <c r="A7" s="477" t="s">
        <v>1</v>
      </c>
      <c r="B7" s="478"/>
      <c r="C7" s="479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5"/>
      <c r="P7" s="475"/>
    </row>
    <row r="8" spans="1:16" ht="15.75" x14ac:dyDescent="0.25">
      <c r="A8" s="477"/>
      <c r="B8" s="478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</row>
    <row r="9" spans="1:16" x14ac:dyDescent="0.25">
      <c r="A9" s="479" t="s">
        <v>354</v>
      </c>
      <c r="B9" s="475"/>
      <c r="C9" s="475"/>
      <c r="D9" s="475"/>
      <c r="E9" s="475"/>
      <c r="F9" s="475"/>
      <c r="G9" s="475"/>
      <c r="H9" s="475"/>
      <c r="I9" s="475"/>
      <c r="J9" s="475"/>
      <c r="K9" s="480"/>
      <c r="L9" s="480" t="s">
        <v>2</v>
      </c>
      <c r="M9" s="480"/>
      <c r="N9" s="481">
        <f>P47</f>
        <v>0</v>
      </c>
      <c r="O9" s="482">
        <f>P30</f>
        <v>183880.2</v>
      </c>
      <c r="P9" s="475"/>
    </row>
    <row r="10" spans="1:16" ht="16.5" thickBot="1" x14ac:dyDescent="0.3">
      <c r="A10" s="475" t="s">
        <v>377</v>
      </c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</row>
    <row r="11" spans="1:16" x14ac:dyDescent="0.25">
      <c r="A11" s="409" t="s">
        <v>355</v>
      </c>
      <c r="B11" s="483" t="s">
        <v>3</v>
      </c>
      <c r="C11" s="484" t="s">
        <v>356</v>
      </c>
      <c r="D11" s="432" t="s">
        <v>4</v>
      </c>
      <c r="E11" s="432" t="s">
        <v>5</v>
      </c>
      <c r="F11" s="432" t="s">
        <v>6</v>
      </c>
      <c r="G11" s="432"/>
      <c r="H11" s="432"/>
      <c r="I11" s="432"/>
      <c r="J11" s="432"/>
      <c r="K11" s="432"/>
      <c r="L11" s="432" t="s">
        <v>7</v>
      </c>
      <c r="M11" s="432"/>
      <c r="N11" s="432"/>
      <c r="O11" s="432"/>
      <c r="P11" s="434"/>
    </row>
    <row r="12" spans="1:16" ht="48" x14ac:dyDescent="0.25">
      <c r="A12" s="485" t="s">
        <v>357</v>
      </c>
      <c r="B12" s="486"/>
      <c r="C12" s="487" t="s">
        <v>358</v>
      </c>
      <c r="D12" s="433"/>
      <c r="E12" s="433"/>
      <c r="F12" s="370" t="s">
        <v>8</v>
      </c>
      <c r="G12" s="370" t="s">
        <v>197</v>
      </c>
      <c r="H12" s="370" t="s">
        <v>198</v>
      </c>
      <c r="I12" s="370" t="s">
        <v>359</v>
      </c>
      <c r="J12" s="370" t="s">
        <v>360</v>
      </c>
      <c r="K12" s="370" t="s">
        <v>361</v>
      </c>
      <c r="L12" s="370" t="s">
        <v>9</v>
      </c>
      <c r="M12" s="370" t="s">
        <v>198</v>
      </c>
      <c r="N12" s="370" t="s">
        <v>359</v>
      </c>
      <c r="O12" s="370" t="s">
        <v>360</v>
      </c>
      <c r="P12" s="371" t="s">
        <v>361</v>
      </c>
    </row>
    <row r="13" spans="1:16" ht="15.75" thickBot="1" x14ac:dyDescent="0.3">
      <c r="A13" s="372">
        <v>1</v>
      </c>
      <c r="B13" s="373">
        <v>2</v>
      </c>
      <c r="C13" s="373">
        <v>3</v>
      </c>
      <c r="D13" s="373">
        <v>4</v>
      </c>
      <c r="E13" s="373">
        <v>5</v>
      </c>
      <c r="F13" s="373">
        <v>6</v>
      </c>
      <c r="G13" s="373">
        <v>7</v>
      </c>
      <c r="H13" s="373">
        <v>8</v>
      </c>
      <c r="I13" s="373">
        <v>9</v>
      </c>
      <c r="J13" s="373">
        <v>10</v>
      </c>
      <c r="K13" s="373">
        <v>11</v>
      </c>
      <c r="L13" s="373">
        <v>12</v>
      </c>
      <c r="M13" s="373">
        <v>13</v>
      </c>
      <c r="N13" s="373">
        <v>14</v>
      </c>
      <c r="O13" s="373">
        <v>15</v>
      </c>
      <c r="P13" s="375">
        <v>16</v>
      </c>
    </row>
    <row r="14" spans="1:16" ht="38.25" x14ac:dyDescent="0.25">
      <c r="A14" s="399">
        <v>1</v>
      </c>
      <c r="B14" s="488"/>
      <c r="C14" s="489" t="s">
        <v>362</v>
      </c>
      <c r="D14" s="488"/>
      <c r="E14" s="488"/>
      <c r="F14" s="488"/>
      <c r="G14" s="488"/>
      <c r="H14" s="167"/>
      <c r="I14" s="83">
        <v>99000</v>
      </c>
      <c r="J14" s="364"/>
      <c r="K14" s="364"/>
      <c r="L14" s="364"/>
      <c r="M14" s="364"/>
      <c r="N14" s="83">
        <v>99000</v>
      </c>
      <c r="O14" s="364"/>
      <c r="P14" s="287">
        <v>99000</v>
      </c>
    </row>
    <row r="15" spans="1:16" ht="25.5" x14ac:dyDescent="0.25">
      <c r="A15" s="85">
        <v>2</v>
      </c>
      <c r="B15" s="334"/>
      <c r="C15" s="490" t="s">
        <v>363</v>
      </c>
      <c r="D15" s="334"/>
      <c r="E15" s="334"/>
      <c r="F15" s="334"/>
      <c r="G15" s="334"/>
      <c r="H15" s="366"/>
      <c r="I15" s="60">
        <v>12500</v>
      </c>
      <c r="J15" s="94"/>
      <c r="K15" s="94"/>
      <c r="L15" s="94"/>
      <c r="M15" s="94"/>
      <c r="N15" s="60">
        <v>12500</v>
      </c>
      <c r="O15" s="94"/>
      <c r="P15" s="290">
        <v>12500</v>
      </c>
    </row>
    <row r="16" spans="1:16" x14ac:dyDescent="0.25">
      <c r="A16" s="85">
        <v>3</v>
      </c>
      <c r="B16" s="334"/>
      <c r="C16" s="490" t="s">
        <v>364</v>
      </c>
      <c r="D16" s="334"/>
      <c r="E16" s="334"/>
      <c r="F16" s="334"/>
      <c r="G16" s="334"/>
      <c r="H16" s="366"/>
      <c r="I16" s="60">
        <v>6600</v>
      </c>
      <c r="J16" s="94"/>
      <c r="K16" s="94"/>
      <c r="L16" s="94"/>
      <c r="M16" s="94"/>
      <c r="N16" s="60">
        <v>6600</v>
      </c>
      <c r="O16" s="94"/>
      <c r="P16" s="290">
        <v>6600</v>
      </c>
    </row>
    <row r="17" spans="1:16" x14ac:dyDescent="0.25">
      <c r="A17" s="399">
        <v>4</v>
      </c>
      <c r="B17" s="334"/>
      <c r="C17" s="490" t="s">
        <v>365</v>
      </c>
      <c r="D17" s="334"/>
      <c r="E17" s="334"/>
      <c r="F17" s="334"/>
      <c r="G17" s="334"/>
      <c r="H17" s="366"/>
      <c r="I17" s="60">
        <v>14600</v>
      </c>
      <c r="J17" s="94"/>
      <c r="K17" s="94"/>
      <c r="L17" s="94"/>
      <c r="M17" s="94"/>
      <c r="N17" s="60">
        <v>14600</v>
      </c>
      <c r="O17" s="94"/>
      <c r="P17" s="290">
        <v>14600</v>
      </c>
    </row>
    <row r="18" spans="1:16" x14ac:dyDescent="0.25">
      <c r="A18" s="85">
        <v>5</v>
      </c>
      <c r="B18" s="334"/>
      <c r="C18" s="490" t="s">
        <v>366</v>
      </c>
      <c r="D18" s="334"/>
      <c r="E18" s="334"/>
      <c r="F18" s="334"/>
      <c r="G18" s="334"/>
      <c r="H18" s="366"/>
      <c r="I18" s="60">
        <v>2320</v>
      </c>
      <c r="J18" s="94"/>
      <c r="K18" s="94"/>
      <c r="L18" s="94"/>
      <c r="M18" s="94"/>
      <c r="N18" s="60">
        <v>2320</v>
      </c>
      <c r="O18" s="94"/>
      <c r="P18" s="290">
        <v>2320</v>
      </c>
    </row>
    <row r="19" spans="1:16" x14ac:dyDescent="0.25">
      <c r="A19" s="85">
        <v>6</v>
      </c>
      <c r="B19" s="334"/>
      <c r="C19" s="490" t="s">
        <v>367</v>
      </c>
      <c r="D19" s="334"/>
      <c r="E19" s="334"/>
      <c r="F19" s="334"/>
      <c r="G19" s="334"/>
      <c r="H19" s="366"/>
      <c r="I19" s="60">
        <v>8200</v>
      </c>
      <c r="J19" s="94"/>
      <c r="K19" s="94"/>
      <c r="L19" s="94"/>
      <c r="M19" s="94"/>
      <c r="N19" s="60">
        <v>8200</v>
      </c>
      <c r="O19" s="94"/>
      <c r="P19" s="290">
        <v>8200</v>
      </c>
    </row>
    <row r="20" spans="1:16" x14ac:dyDescent="0.25">
      <c r="A20" s="399">
        <v>7</v>
      </c>
      <c r="B20" s="334"/>
      <c r="C20" s="490" t="s">
        <v>368</v>
      </c>
      <c r="D20" s="334"/>
      <c r="E20" s="334"/>
      <c r="F20" s="334"/>
      <c r="G20" s="334"/>
      <c r="H20" s="366"/>
      <c r="I20" s="60">
        <v>1600</v>
      </c>
      <c r="J20" s="94"/>
      <c r="K20" s="94"/>
      <c r="L20" s="94"/>
      <c r="M20" s="94"/>
      <c r="N20" s="60">
        <v>1600</v>
      </c>
      <c r="O20" s="94"/>
      <c r="P20" s="290">
        <v>1600</v>
      </c>
    </row>
    <row r="21" spans="1:16" x14ac:dyDescent="0.25">
      <c r="A21" s="85">
        <v>8</v>
      </c>
      <c r="B21" s="334"/>
      <c r="C21" s="490" t="s">
        <v>369</v>
      </c>
      <c r="D21" s="334"/>
      <c r="E21" s="334"/>
      <c r="F21" s="334"/>
      <c r="G21" s="334"/>
      <c r="H21" s="366"/>
      <c r="I21" s="60">
        <v>1950</v>
      </c>
      <c r="J21" s="94"/>
      <c r="K21" s="94"/>
      <c r="L21" s="94"/>
      <c r="M21" s="94"/>
      <c r="N21" s="60">
        <v>1950</v>
      </c>
      <c r="O21" s="94"/>
      <c r="P21" s="290">
        <v>1950</v>
      </c>
    </row>
    <row r="22" spans="1:16" x14ac:dyDescent="0.25">
      <c r="A22" s="85">
        <v>9</v>
      </c>
      <c r="B22" s="334"/>
      <c r="C22" s="490" t="s">
        <v>370</v>
      </c>
      <c r="D22" s="334"/>
      <c r="E22" s="334"/>
      <c r="F22" s="334"/>
      <c r="G22" s="334"/>
      <c r="H22" s="366"/>
      <c r="I22" s="60">
        <v>3040</v>
      </c>
      <c r="J22" s="94"/>
      <c r="K22" s="94"/>
      <c r="L22" s="94"/>
      <c r="M22" s="94"/>
      <c r="N22" s="60">
        <v>3040</v>
      </c>
      <c r="O22" s="94"/>
      <c r="P22" s="290">
        <v>3040</v>
      </c>
    </row>
    <row r="23" spans="1:16" x14ac:dyDescent="0.25">
      <c r="A23" s="399">
        <v>10</v>
      </c>
      <c r="B23" s="334"/>
      <c r="C23" s="490" t="s">
        <v>371</v>
      </c>
      <c r="D23" s="334"/>
      <c r="E23" s="334"/>
      <c r="F23" s="334"/>
      <c r="G23" s="334"/>
      <c r="H23" s="366"/>
      <c r="I23" s="60">
        <v>2530</v>
      </c>
      <c r="J23" s="94"/>
      <c r="K23" s="94"/>
      <c r="L23" s="94"/>
      <c r="M23" s="94"/>
      <c r="N23" s="60">
        <v>2530</v>
      </c>
      <c r="O23" s="94"/>
      <c r="P23" s="290">
        <v>2530</v>
      </c>
    </row>
    <row r="24" spans="1:16" x14ac:dyDescent="0.25">
      <c r="A24" s="85">
        <v>11</v>
      </c>
      <c r="B24" s="334"/>
      <c r="C24" s="490" t="s">
        <v>372</v>
      </c>
      <c r="D24" s="334"/>
      <c r="E24" s="334"/>
      <c r="F24" s="334"/>
      <c r="G24" s="334"/>
      <c r="H24" s="366"/>
      <c r="I24" s="60">
        <v>784</v>
      </c>
      <c r="J24" s="94"/>
      <c r="K24" s="94"/>
      <c r="L24" s="94"/>
      <c r="M24" s="94"/>
      <c r="N24" s="60">
        <v>784</v>
      </c>
      <c r="O24" s="94"/>
      <c r="P24" s="290">
        <v>784</v>
      </c>
    </row>
    <row r="25" spans="1:16" x14ac:dyDescent="0.25">
      <c r="A25" s="85">
        <v>12</v>
      </c>
      <c r="B25" s="334"/>
      <c r="C25" s="490" t="s">
        <v>373</v>
      </c>
      <c r="D25" s="334"/>
      <c r="E25" s="334"/>
      <c r="F25" s="334"/>
      <c r="G25" s="334"/>
      <c r="H25" s="366"/>
      <c r="I25" s="60">
        <v>10320</v>
      </c>
      <c r="J25" s="94"/>
      <c r="K25" s="94"/>
      <c r="L25" s="94"/>
      <c r="M25" s="94"/>
      <c r="N25" s="60">
        <v>10320</v>
      </c>
      <c r="O25" s="94"/>
      <c r="P25" s="290">
        <v>10320</v>
      </c>
    </row>
    <row r="26" spans="1:16" x14ac:dyDescent="0.25">
      <c r="A26" s="399">
        <v>13</v>
      </c>
      <c r="B26" s="334"/>
      <c r="C26" s="490" t="s">
        <v>374</v>
      </c>
      <c r="D26" s="334"/>
      <c r="E26" s="334"/>
      <c r="F26" s="334"/>
      <c r="G26" s="334"/>
      <c r="H26" s="366"/>
      <c r="I26" s="60">
        <v>1380</v>
      </c>
      <c r="J26" s="94"/>
      <c r="K26" s="94"/>
      <c r="L26" s="94"/>
      <c r="M26" s="94"/>
      <c r="N26" s="60">
        <v>1380</v>
      </c>
      <c r="O26" s="94"/>
      <c r="P26" s="290">
        <v>1380</v>
      </c>
    </row>
    <row r="27" spans="1:16" ht="25.5" x14ac:dyDescent="0.25">
      <c r="A27" s="85">
        <v>14</v>
      </c>
      <c r="B27" s="334"/>
      <c r="C27" s="490" t="s">
        <v>375</v>
      </c>
      <c r="D27" s="334"/>
      <c r="E27" s="334"/>
      <c r="F27" s="334"/>
      <c r="G27" s="334"/>
      <c r="H27" s="366"/>
      <c r="I27" s="60">
        <v>10300</v>
      </c>
      <c r="J27" s="94"/>
      <c r="K27" s="94"/>
      <c r="L27" s="94"/>
      <c r="M27" s="94"/>
      <c r="N27" s="60">
        <v>10300</v>
      </c>
      <c r="O27" s="94"/>
      <c r="P27" s="290">
        <v>10300</v>
      </c>
    </row>
    <row r="28" spans="1:16" x14ac:dyDescent="0.25">
      <c r="A28" s="96" t="s">
        <v>16</v>
      </c>
      <c r="B28" s="334" t="s">
        <v>16</v>
      </c>
      <c r="C28" s="491" t="s">
        <v>17</v>
      </c>
      <c r="D28" s="491"/>
      <c r="E28" s="334" t="s">
        <v>16</v>
      </c>
      <c r="F28" s="334" t="s">
        <v>16</v>
      </c>
      <c r="G28" s="334" t="s">
        <v>16</v>
      </c>
      <c r="H28" s="334" t="s">
        <v>16</v>
      </c>
      <c r="I28" s="334" t="s">
        <v>16</v>
      </c>
      <c r="J28" s="334" t="s">
        <v>16</v>
      </c>
      <c r="K28" s="492" t="s">
        <v>16</v>
      </c>
      <c r="L28" s="493" t="s">
        <v>16</v>
      </c>
      <c r="M28" s="493" t="s">
        <v>16</v>
      </c>
      <c r="N28" s="494">
        <f>SUM(N14:N27)</f>
        <v>175124</v>
      </c>
      <c r="O28" s="493" t="s">
        <v>16</v>
      </c>
      <c r="P28" s="495">
        <f>SUM(P14:P27)</f>
        <v>175124</v>
      </c>
    </row>
    <row r="29" spans="1:16" x14ac:dyDescent="0.25">
      <c r="A29" s="96" t="s">
        <v>16</v>
      </c>
      <c r="B29" s="334" t="s">
        <v>16</v>
      </c>
      <c r="C29" s="496" t="s">
        <v>376</v>
      </c>
      <c r="D29" s="497"/>
      <c r="E29" s="497"/>
      <c r="F29" s="497"/>
      <c r="G29" s="497"/>
      <c r="H29" s="497"/>
      <c r="I29" s="497"/>
      <c r="J29" s="497"/>
      <c r="K29" s="498"/>
      <c r="L29" s="493"/>
      <c r="M29" s="493"/>
      <c r="N29" s="493">
        <f>N28*0.05</f>
        <v>8756.2000000000007</v>
      </c>
      <c r="O29" s="493" t="s">
        <v>16</v>
      </c>
      <c r="P29" s="499">
        <f>N29</f>
        <v>8756.2000000000007</v>
      </c>
    </row>
    <row r="30" spans="1:16" ht="15.75" thickBot="1" x14ac:dyDescent="0.3">
      <c r="A30" s="500" t="s">
        <v>16</v>
      </c>
      <c r="B30" s="501" t="s">
        <v>16</v>
      </c>
      <c r="C30" s="502" t="s">
        <v>19</v>
      </c>
      <c r="D30" s="503"/>
      <c r="E30" s="503"/>
      <c r="F30" s="503"/>
      <c r="G30" s="503"/>
      <c r="H30" s="503"/>
      <c r="I30" s="503"/>
      <c r="J30" s="503"/>
      <c r="K30" s="504"/>
      <c r="L30" s="505"/>
      <c r="M30" s="505"/>
      <c r="N30" s="505"/>
      <c r="O30" s="506" t="s">
        <v>16</v>
      </c>
      <c r="P30" s="507">
        <f>P29+P28</f>
        <v>183880.2</v>
      </c>
    </row>
    <row r="31" spans="1:16" x14ac:dyDescent="0.25">
      <c r="A31" s="475" t="s">
        <v>16</v>
      </c>
      <c r="B31" s="508" t="s">
        <v>16</v>
      </c>
      <c r="C31" s="508" t="s">
        <v>16</v>
      </c>
      <c r="D31" s="509" t="s">
        <v>16</v>
      </c>
      <c r="E31" s="509"/>
      <c r="F31" s="509" t="s">
        <v>16</v>
      </c>
      <c r="G31" s="509"/>
      <c r="H31" s="509"/>
      <c r="I31" s="509" t="s">
        <v>16</v>
      </c>
      <c r="J31" s="509"/>
      <c r="K31" s="508" t="s">
        <v>16</v>
      </c>
      <c r="L31" s="508" t="s">
        <v>16</v>
      </c>
      <c r="M31" s="508" t="s">
        <v>16</v>
      </c>
      <c r="N31" s="510"/>
      <c r="O31" s="475"/>
      <c r="P31" s="475" t="s">
        <v>16</v>
      </c>
    </row>
    <row r="32" spans="1:16" x14ac:dyDescent="0.25">
      <c r="A32" s="475" t="s">
        <v>20</v>
      </c>
      <c r="B32" s="508"/>
      <c r="C32" s="511"/>
      <c r="D32" s="475"/>
      <c r="E32" s="475"/>
      <c r="F32" s="475"/>
      <c r="G32" s="475" t="s">
        <v>21</v>
      </c>
      <c r="H32" s="512"/>
      <c r="I32" s="511"/>
      <c r="J32" s="511"/>
      <c r="K32" s="508"/>
      <c r="L32" s="508"/>
      <c r="M32" s="508"/>
      <c r="N32" s="508"/>
      <c r="O32" s="508"/>
      <c r="P32" s="475"/>
    </row>
    <row r="33" spans="1:16" x14ac:dyDescent="0.25">
      <c r="A33" s="513"/>
      <c r="B33" s="475"/>
      <c r="C33" s="330" t="s">
        <v>22</v>
      </c>
      <c r="D33" s="475"/>
      <c r="E33" s="475"/>
      <c r="F33" s="475"/>
      <c r="G33" s="475"/>
      <c r="H33" s="475"/>
      <c r="I33" s="330" t="s">
        <v>22</v>
      </c>
      <c r="J33" s="475"/>
      <c r="K33" s="475"/>
      <c r="L33" s="475"/>
      <c r="M33" s="475"/>
      <c r="N33" s="475"/>
      <c r="O33" s="475"/>
      <c r="P33" s="475"/>
    </row>
  </sheetData>
  <mergeCells count="12">
    <mergeCell ref="C28:D28"/>
    <mergeCell ref="C29:K29"/>
    <mergeCell ref="C30:K30"/>
    <mergeCell ref="D31:E31"/>
    <mergeCell ref="F31:H31"/>
    <mergeCell ref="I31:J31"/>
    <mergeCell ref="A1:P1"/>
    <mergeCell ref="B2:P2"/>
    <mergeCell ref="D11:D12"/>
    <mergeCell ref="E11:E12"/>
    <mergeCell ref="F11:K11"/>
    <mergeCell ref="L11:P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 Būvlaukuma sagatavošana</vt:lpstr>
      <vt:lpstr>2. Zemes darbi</vt:lpstr>
      <vt:lpstr>3. Pamati</vt:lpstr>
      <vt:lpstr>4. Metāla konstrukcijas</vt:lpstr>
      <vt:lpstr>5. Sienas</vt:lpstr>
      <vt:lpstr>6. Jumts</vt:lpstr>
      <vt:lpstr>7. Grīdas</vt:lpstr>
      <vt:lpstr>8. Ailu aizpildījumi</vt:lpstr>
      <vt:lpstr>9. Aprīkojums</vt:lpstr>
      <vt:lpstr>Kopsavilkums</vt:lpstr>
      <vt:lpstr>Koptāme</vt:lpstr>
      <vt:lpstr>Pasūtītāja koptāme</vt:lpstr>
      <vt:lpstr>Tehniski ekonomiskie rādītāji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</dc:creator>
  <cp:lastModifiedBy>Kristaps</cp:lastModifiedBy>
  <cp:lastPrinted>2015-07-21T12:22:26Z</cp:lastPrinted>
  <dcterms:created xsi:type="dcterms:W3CDTF">2013-03-31T09:30:22Z</dcterms:created>
  <dcterms:modified xsi:type="dcterms:W3CDTF">2015-12-10T21:13:42Z</dcterms:modified>
</cp:coreProperties>
</file>